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codeName="{85106AD5-7665-2F1B-BB0A-E31DD656B090}"/>
  <workbookPr codeName="ThisWorkbook"/>
  <mc:AlternateContent xmlns:mc="http://schemas.openxmlformats.org/markup-compatibility/2006">
    <mc:Choice Requires="x15">
      <x15ac:absPath xmlns:x15ac="http://schemas.microsoft.com/office/spreadsheetml/2010/11/ac" url="B:\6_praca\firmy\YourSpreadsheets\solar panels\US\free lite version\"/>
    </mc:Choice>
  </mc:AlternateContent>
  <xr:revisionPtr revIDLastSave="0" documentId="13_ncr:1_{F4C115E1-BAE4-45B1-82AC-2F459CD8AB88}" xr6:coauthVersionLast="45" xr6:coauthVersionMax="45" xr10:uidLastSave="{00000000-0000-0000-0000-000000000000}"/>
  <workbookProtection workbookPassword="B24B" lockStructure="1"/>
  <bookViews>
    <workbookView xWindow="-120" yWindow="-120" windowWidth="29040" windowHeight="15840" activeTab="2" xr2:uid="{00000000-000D-0000-FFFF-FFFF00000000}"/>
  </bookViews>
  <sheets>
    <sheet name="Photovoltaic module" sheetId="3" r:id="rId1"/>
    <sheet name="Calculations" sheetId="5" state="hidden" r:id="rId2"/>
    <sheet name="from author" sheetId="6" r:id="rId3"/>
  </sheets>
  <definedNames>
    <definedName name="A">'Photovoltaic module'!$N$52</definedName>
    <definedName name="A_n">'Photovoltaic module'!$N$53</definedName>
    <definedName name="a_pv">'Photovoltaic module'!$N$22</definedName>
    <definedName name="A_t">'Photovoltaic module'!$N$54</definedName>
    <definedName name="b_panel_width">'Photovoltaic module'!$N$25</definedName>
    <definedName name="BuildingTypes">Calculations!$O$7:$O$8</definedName>
    <definedName name="d_bE">'Photovoltaic module'!$AE$32</definedName>
    <definedName name="d_bN">'Photovoltaic module'!$AE$29</definedName>
    <definedName name="d_bS">'Photovoltaic module'!$AE$35</definedName>
    <definedName name="d_bW">'Photovoltaic module'!$AE$38</definedName>
    <definedName name="d_pE">'Photovoltaic module'!$AE$33</definedName>
    <definedName name="d_pN">'Photovoltaic module'!$AE$30</definedName>
    <definedName name="d_pS">'Photovoltaic module'!$AE$36</definedName>
    <definedName name="d_pW">'Photovoltaic module'!$AE$39</definedName>
    <definedName name="E">Calculations!$G$26</definedName>
    <definedName name="ExposureCategories">Calculations!$J$6:$L$6</definedName>
    <definedName name="exposureCategory">'Photovoltaic module'!$N$18</definedName>
    <definedName name="F">'Photovoltaic module'!$AE$12</definedName>
    <definedName name="F_d">'Photovoltaic module'!$AE$11</definedName>
    <definedName name="F_horiz">'Photovoltaic module'!$AE$13</definedName>
    <definedName name="F_vert">'Photovoltaic module'!$AE$14</definedName>
    <definedName name="GC_rn">'Photovoltaic module'!$N$56</definedName>
    <definedName name="GC_rn_d">'Photovoltaic module'!$N$55</definedName>
    <definedName name="GC_rn_nom">'Photovoltaic module'!$AE$7</definedName>
    <definedName name="h">'Photovoltaic module'!$N$11</definedName>
    <definedName name="h_1">'Photovoltaic module'!$N$27</definedName>
    <definedName name="h_c">'Photovoltaic module'!$AD$22</definedName>
    <definedName name="h_c_N">'Photovoltaic module'!$AD$22</definedName>
    <definedName name="h_pt">'Photovoltaic module'!$N$12</definedName>
    <definedName name="image1">INDIRECT("pictures!B"&amp;'Photovoltaic module'!$AG$6)</definedName>
    <definedName name="isEdgePanel_E">'Photovoltaic module'!$AE$34</definedName>
    <definedName name="isEdgePanel_N">'Photovoltaic module'!$AE$31</definedName>
    <definedName name="isEdgePanel_S">'Photovoltaic module'!$AE$37</definedName>
    <definedName name="isEdgePanel_W">'Photovoltaic module'!$AE$40</definedName>
    <definedName name="K_d">'Photovoltaic module'!$N$19</definedName>
    <definedName name="K_z">'Photovoltaic module'!$N$20</definedName>
    <definedName name="K_zt">'Photovoltaic module'!$N$17</definedName>
    <definedName name="l_p">'Photovoltaic module'!$N$26</definedName>
    <definedName name="l_p_panel">'Photovoltaic module'!$N$26</definedName>
    <definedName name="myrange">'Photovoltaic module'!$B$2:$AB$60</definedName>
    <definedName name="p">'Photovoltaic module'!$AE$10</definedName>
    <definedName name="P_D">'Photovoltaic module'!$N$49</definedName>
    <definedName name="p_dwn">'Photovoltaic module'!$AE$9</definedName>
    <definedName name="pea">'Photovoltaic module'!$AE$5</definedName>
    <definedName name="_xlnm.Print_Area" localSheetId="0">'Photovoltaic module'!$B$2:$AB$60</definedName>
    <definedName name="PVType">'Photovoltaic module'!$AE$4</definedName>
    <definedName name="PVTypes">Calculations!$O$10:$O$11</definedName>
    <definedName name="q_h">'Photovoltaic module'!$N$21</definedName>
    <definedName name="roofZone">'Photovoltaic module'!$AH$5</definedName>
    <definedName name="RoofZones">Calculations!$D$13:$G$13</definedName>
    <definedName name="setback_Z0">Calculations!$C$4</definedName>
    <definedName name="setback_Z2">Calculations!$C$3</definedName>
    <definedName name="setback_Z3">Calculations!$C$2</definedName>
    <definedName name="V">'Photovoltaic module'!$N$16</definedName>
    <definedName name="W_blst">'Photovoltaic module'!$AE$15</definedName>
    <definedName name="W_blst_arr">'Photovoltaic module'!$AE$15</definedName>
    <definedName name="W_blst_sld">'Photovoltaic module'!$AE$16</definedName>
    <definedName name="W_blst_up">'Photovoltaic module'!$AE$15</definedName>
    <definedName name="W_L">'Photovoltaic module'!$N$13</definedName>
    <definedName name="W_panel">'Photovoltaic module'!$N$28</definedName>
    <definedName name="W_S">'Photovoltaic module'!$N$14</definedName>
    <definedName name="z_g">Calculations!$C$53</definedName>
    <definedName name="α">Calculations!$C$52</definedName>
    <definedName name="γ_c">'Photovoltaic module'!$N$50</definedName>
    <definedName name="γ_p">'Photovoltaic module'!$N$51</definedName>
    <definedName name="θ">'Photovoltaic module'!$AE$3</definedName>
    <definedName name="μ">'Photovoltaic module'!$N$29</definedName>
    <definedName name="ω">'Photovoltaic module'!$AE$6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15" i="3" l="1"/>
  <c r="AI14" i="3"/>
  <c r="AJ13" i="3"/>
  <c r="AI13" i="3"/>
  <c r="AG22" i="3" l="1"/>
  <c r="AG19" i="3"/>
  <c r="AG23" i="3"/>
  <c r="AG21" i="3"/>
  <c r="AE6" i="3"/>
  <c r="E43" i="5" s="1"/>
  <c r="AE3" i="3"/>
  <c r="N50" i="3" s="1"/>
  <c r="E23" i="5" l="1"/>
  <c r="E32" i="5"/>
  <c r="E44" i="5"/>
  <c r="E39" i="5"/>
  <c r="E24" i="5"/>
  <c r="E31" i="5"/>
  <c r="E36" i="5"/>
  <c r="AG25" i="3"/>
  <c r="AG24" i="3"/>
  <c r="AG20" i="3" l="1"/>
  <c r="AG6" i="3"/>
  <c r="AE29" i="3" l="1"/>
  <c r="I2" i="5"/>
  <c r="Q8" i="3" l="1"/>
  <c r="Z50" i="3"/>
  <c r="AI12" i="3" s="1"/>
  <c r="Z49" i="3"/>
  <c r="AI11" i="3" s="1"/>
  <c r="C56" i="3"/>
  <c r="C55" i="3"/>
  <c r="AE33" i="3" l="1"/>
  <c r="AE36" i="3"/>
  <c r="AE39" i="3"/>
  <c r="AE30" i="3"/>
  <c r="AE40" i="3"/>
  <c r="AE38" i="3"/>
  <c r="AE34" i="3"/>
  <c r="AE32" i="3"/>
  <c r="AE35" i="3"/>
  <c r="AE37" i="3"/>
  <c r="AE31" i="3"/>
  <c r="AE4" i="3"/>
  <c r="AE5" i="3" s="1"/>
  <c r="AF33" i="3" l="1"/>
  <c r="AF36" i="3"/>
  <c r="AF39" i="3"/>
  <c r="N52" i="3"/>
  <c r="N49" i="3" s="1"/>
  <c r="N54" i="3"/>
  <c r="AF30" i="3"/>
  <c r="N51" i="3"/>
  <c r="C15" i="3"/>
  <c r="Y5" i="3"/>
  <c r="D24" i="5"/>
  <c r="D23" i="5"/>
  <c r="D45" i="5"/>
  <c r="D38" i="5"/>
  <c r="D29" i="5"/>
  <c r="C53" i="5" l="1"/>
  <c r="C52" i="5"/>
  <c r="D22" i="5"/>
  <c r="N20" i="3" l="1"/>
  <c r="N21" i="3" s="1"/>
  <c r="D30" i="5"/>
  <c r="D37" i="5"/>
  <c r="F60" i="5"/>
  <c r="E60" i="5"/>
  <c r="D60" i="5"/>
  <c r="F67" i="5"/>
  <c r="E66" i="5"/>
  <c r="D67" i="5"/>
  <c r="D66" i="5"/>
  <c r="E67" i="5"/>
  <c r="F66" i="5"/>
  <c r="F59" i="5"/>
  <c r="E59" i="5"/>
  <c r="D59" i="5"/>
  <c r="N22" i="3"/>
  <c r="E45" i="5" l="1"/>
  <c r="E46" i="5"/>
  <c r="E37" i="5"/>
  <c r="E38" i="5"/>
  <c r="E29" i="5"/>
  <c r="E30" i="5"/>
  <c r="E22" i="5"/>
  <c r="E25" i="5"/>
  <c r="N53" i="3"/>
  <c r="E15" i="5" s="1"/>
  <c r="C3" i="5"/>
  <c r="D25" i="5"/>
  <c r="D46" i="5"/>
  <c r="C4" i="5"/>
  <c r="F7" i="5" l="1"/>
  <c r="D7" i="5"/>
  <c r="E7" i="5"/>
  <c r="G7" i="5"/>
  <c r="G15" i="5"/>
  <c r="G14" i="5"/>
  <c r="F15" i="5"/>
  <c r="F14" i="5"/>
  <c r="E14" i="5"/>
  <c r="D15" i="5"/>
  <c r="D14" i="5"/>
  <c r="E45" i="3" l="1"/>
  <c r="AD45" i="3" s="1"/>
  <c r="F43" i="5"/>
  <c r="F44" i="5"/>
  <c r="F45" i="5"/>
  <c r="F46" i="5"/>
  <c r="E44" i="3"/>
  <c r="AD44" i="3" s="1"/>
  <c r="F36" i="5"/>
  <c r="F37" i="5"/>
  <c r="F38" i="5"/>
  <c r="F39" i="5"/>
  <c r="F29" i="5"/>
  <c r="F30" i="5"/>
  <c r="F31" i="5"/>
  <c r="F32" i="5"/>
  <c r="E46" i="3"/>
  <c r="AD46" i="3" s="1"/>
  <c r="F22" i="5"/>
  <c r="F23" i="5"/>
  <c r="F24" i="5"/>
  <c r="F25" i="5"/>
  <c r="AE44" i="3"/>
  <c r="AE45" i="3"/>
  <c r="E43" i="3"/>
  <c r="D17" i="5"/>
  <c r="E17" i="5"/>
  <c r="G17" i="5"/>
  <c r="F17" i="5"/>
  <c r="K44" i="3" l="1"/>
  <c r="I45" i="3"/>
  <c r="I44" i="3"/>
  <c r="K46" i="3"/>
  <c r="AE46" i="3"/>
  <c r="I46" i="3" s="1"/>
  <c r="AD43" i="3"/>
  <c r="AE43" i="3"/>
  <c r="AE47" i="3" s="1"/>
  <c r="K45" i="3"/>
  <c r="K43" i="3"/>
  <c r="I43" i="3" l="1"/>
  <c r="AD47" i="3"/>
  <c r="G37" i="5"/>
  <c r="G38" i="5"/>
  <c r="G24" i="5"/>
  <c r="G31" i="5"/>
  <c r="G32" i="5"/>
  <c r="G25" i="5"/>
  <c r="G45" i="5"/>
  <c r="G23" i="5"/>
  <c r="G30" i="5"/>
  <c r="G36" i="5"/>
  <c r="G43" i="5"/>
  <c r="G39" i="5"/>
  <c r="G44" i="5"/>
  <c r="G46" i="5"/>
  <c r="G29" i="5"/>
  <c r="G22" i="5"/>
  <c r="G26" i="5" l="1"/>
  <c r="N46" i="3" s="1"/>
  <c r="G47" i="5"/>
  <c r="N45" i="3" s="1"/>
  <c r="G33" i="5"/>
  <c r="N43" i="3" s="1"/>
  <c r="G40" i="5"/>
  <c r="N44" i="3" s="1"/>
  <c r="G46" i="3"/>
  <c r="AF46" i="3" l="1"/>
  <c r="G43" i="3"/>
  <c r="AF43" i="3"/>
  <c r="G44" i="3"/>
  <c r="AF44" i="3"/>
  <c r="G45" i="3"/>
  <c r="AF45" i="3" l="1"/>
  <c r="AF47" i="3" l="1"/>
  <c r="N56" i="3" s="1"/>
  <c r="N55" i="3" l="1"/>
  <c r="AE9" i="3" s="1"/>
  <c r="AE10" i="3"/>
  <c r="N58" i="3" s="1"/>
  <c r="AE11" i="3" l="1"/>
  <c r="N57" i="3"/>
  <c r="AE12" i="3"/>
  <c r="Z44" i="3" l="1"/>
  <c r="AF12" i="3"/>
  <c r="AF11" i="3"/>
  <c r="Z43" i="3"/>
  <c r="AE14" i="3"/>
  <c r="AG15" i="3" s="1"/>
  <c r="Z51" i="3" s="1"/>
  <c r="AE13" i="3"/>
  <c r="AG16" i="3" l="1"/>
  <c r="Z52" i="3" s="1"/>
  <c r="Z46" i="3"/>
  <c r="Z55" i="3" s="1"/>
  <c r="AF14" i="3"/>
  <c r="Z45" i="3"/>
  <c r="AF13" i="3"/>
  <c r="AE15" i="3"/>
  <c r="AE16" i="3"/>
  <c r="Z54" i="3" l="1"/>
  <c r="Z53" i="3"/>
  <c r="Z56" i="3"/>
  <c r="X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15" authorId="0" shapeId="0" xr:uid="{00000000-0006-0000-0000-000001000000}">
      <text>
        <r>
          <rPr>
            <b/>
            <sz val="9"/>
            <color indexed="81"/>
            <rFont val="Tahoma"/>
            <family val="2"/>
          </rPr>
          <t>LOCKED IN FREE LITE VERSION</t>
        </r>
      </text>
    </comment>
    <comment ref="N25" authorId="0" shapeId="0" xr:uid="{00000000-0006-0000-0000-000002000000}">
      <text>
        <r>
          <rPr>
            <b/>
            <sz val="9"/>
            <color indexed="81"/>
            <rFont val="Tahoma"/>
            <family val="2"/>
          </rPr>
          <t>LOCKED IN FREE LITE VERSION</t>
        </r>
      </text>
    </comment>
    <comment ref="N26" authorId="0" shapeId="0" xr:uid="{00000000-0006-0000-0000-000003000000}">
      <text>
        <r>
          <rPr>
            <b/>
            <sz val="9"/>
            <color indexed="81"/>
            <rFont val="Tahoma"/>
            <family val="2"/>
          </rPr>
          <t>LOCKED IN FREE LITE VERSION</t>
        </r>
      </text>
    </comment>
    <comment ref="N28" authorId="0" shapeId="0" xr:uid="{00000000-0006-0000-0000-000004000000}">
      <text>
        <r>
          <rPr>
            <b/>
            <sz val="9"/>
            <color indexed="81"/>
            <rFont val="Tahoma"/>
            <family val="2"/>
          </rPr>
          <t>LOCKED IN FREE LITE VERSION</t>
        </r>
      </text>
    </comment>
  </commentList>
</comments>
</file>

<file path=xl/sharedStrings.xml><?xml version="1.0" encoding="utf-8"?>
<sst xmlns="http://schemas.openxmlformats.org/spreadsheetml/2006/main" count="275" uniqueCount="216">
  <si>
    <t>Wind exposure category =</t>
  </si>
  <si>
    <t>Velocity Pressure Exposure Coefficients, K_h and K_z</t>
  </si>
  <si>
    <t>Exposure</t>
  </si>
  <si>
    <t>Height</t>
  </si>
  <si>
    <t>B</t>
  </si>
  <si>
    <t>C</t>
  </si>
  <si>
    <t>D</t>
  </si>
  <si>
    <t>Angle of plane of panel to roof, ω [degrees] =</t>
  </si>
  <si>
    <t>Zone 0 setback [ft] =</t>
  </si>
  <si>
    <t>Zone 3 setback [ft] =</t>
  </si>
  <si>
    <t>Zone 2 from 3, and Zone 1 from 2 setbacks [ft] =</t>
  </si>
  <si>
    <t>Theoretical nominal net pressure coefficients, (GC_rn)_nom</t>
  </si>
  <si>
    <t>Zone 1</t>
  </si>
  <si>
    <t>Zone 2</t>
  </si>
  <si>
    <t>Zone 3</t>
  </si>
  <si>
    <t>15 - 35</t>
  </si>
  <si>
    <t>0 - 5</t>
  </si>
  <si>
    <t>ω (deg)</t>
  </si>
  <si>
    <t>Zone 0</t>
  </si>
  <si>
    <t>Nominal net pressure coefficient, (GC_rn)_nom =</t>
  </si>
  <si>
    <t>Edge factor, E =</t>
  </si>
  <si>
    <t>Design wind pressure, p [psf] =</t>
  </si>
  <si>
    <t>Required ballast weight for uplift, W_blst_up [lbs] =</t>
  </si>
  <si>
    <t>ASCE 7-10 Table 29.3-1</t>
  </si>
  <si>
    <t>Options:</t>
  </si>
  <si>
    <t>Menu</t>
  </si>
  <si>
    <t>Option</t>
  </si>
  <si>
    <t>Building Types</t>
  </si>
  <si>
    <r>
      <t xml:space="preserve">Low-rise w/ roof slope </t>
    </r>
    <r>
      <rPr>
        <sz val="11"/>
        <color theme="1"/>
        <rFont val="Calibri"/>
        <family val="2"/>
      </rPr>
      <t>θ ≤ 7°</t>
    </r>
  </si>
  <si>
    <t>Pitched roof</t>
  </si>
  <si>
    <t>PV Types</t>
  </si>
  <si>
    <t>Fixed</t>
  </si>
  <si>
    <t>Ballasted</t>
  </si>
  <si>
    <t>PV Type =</t>
  </si>
  <si>
    <t>Edge factors</t>
  </si>
  <si>
    <t>d_X</t>
  </si>
  <si>
    <t>h_c,X</t>
  </si>
  <si>
    <t>Zone 2 or 3 &amp; d_X &gt; 3 a_pv?</t>
  </si>
  <si>
    <t>E_X</t>
  </si>
  <si>
    <t>Direction</t>
  </si>
  <si>
    <t>North</t>
  </si>
  <si>
    <t>South</t>
  </si>
  <si>
    <t>East</t>
  </si>
  <si>
    <t>West</t>
  </si>
  <si>
    <t>Panel is an edge panel unobstructed by other panels from EAST side? =</t>
  </si>
  <si>
    <t>Panel is an edge panel unobstructed by other panels from NORTH side? =</t>
  </si>
  <si>
    <t>Panel is an edge panel unobstructed by other panels from SOUTH side? =</t>
  </si>
  <si>
    <t>Panel is an edge panel unobstructed by other panels from WEST side? =</t>
  </si>
  <si>
    <t>Zone</t>
  </si>
  <si>
    <t>Horizontal distance measured orthogonal to the panel edges in the NORTH direction to adjacent panel [ft] =</t>
  </si>
  <si>
    <t>Horizontal distance measured orthogonal to the panel edges in the EAST direction to adjacent panel [ft] =</t>
  </si>
  <si>
    <t>Horizontal distance measured orthogonal to the panel edges in the SOUTH direction to adjacent panel [ft] =</t>
  </si>
  <si>
    <t>Horizontal distance measured orthogonal to the panel edges in the WEST direction to adjacent panel [ft] =</t>
  </si>
  <si>
    <t>N &amp; E</t>
  </si>
  <si>
    <t>E &amp; S</t>
  </si>
  <si>
    <t>S &amp; W</t>
  </si>
  <si>
    <t>W &amp; N</t>
  </si>
  <si>
    <t>Edge Zones</t>
  </si>
  <si>
    <t>Dirs</t>
  </si>
  <si>
    <t>Max</t>
  </si>
  <si>
    <t>Percent tributary area =</t>
  </si>
  <si>
    <t>ASCE 7-10 Table 26.9-1</t>
  </si>
  <si>
    <t>α</t>
  </si>
  <si>
    <t>z_g</t>
  </si>
  <si>
    <t>z_min</t>
  </si>
  <si>
    <t>α =</t>
  </si>
  <si>
    <t>z_g =</t>
  </si>
  <si>
    <t>Roof slope, θ [deg] =</t>
  </si>
  <si>
    <t>For roof slope &lt;= 7 degrees</t>
  </si>
  <si>
    <t>For roof slopes greater than 7 degrees and less than or equal to 27 degrees</t>
  </si>
  <si>
    <t>GC_p</t>
  </si>
  <si>
    <t>Downward pressure</t>
  </si>
  <si>
    <t>Uplift</t>
  </si>
  <si>
    <t>For roof slopes greater than 27 and less than or equal to 45</t>
  </si>
  <si>
    <t>Uplift force on PV panel, F [lbs] =</t>
  </si>
  <si>
    <t>Horizontal uplift force on panel, F_horiz [lbs] =</t>
  </si>
  <si>
    <t>Vertical uplift force on panel, F_vert [lbs] =</t>
  </si>
  <si>
    <t>Design in-to-roof wind pressure, p [psf] =</t>
  </si>
  <si>
    <t>In-to-roof force on PV panel, F [lbs] =</t>
  </si>
  <si>
    <t>For roof slopes greater than 7 degrees - calcs not used</t>
  </si>
  <si>
    <t>For latest updates and news visit:</t>
  </si>
  <si>
    <t>Contact me at:</t>
  </si>
  <si>
    <t>www.YourSpreadsheets.co.uk</t>
  </si>
  <si>
    <t>info@yourspreadsheets.co.uk</t>
  </si>
  <si>
    <t>plus is 'towards surface'</t>
  </si>
  <si>
    <t>minus is 'away from surface'</t>
  </si>
  <si>
    <t>1 - NORTH-WEST</t>
  </si>
  <si>
    <t>2 - NORTH-EAST</t>
  </si>
  <si>
    <t>3 - SOUTH-EAST</t>
  </si>
  <si>
    <t>4 - SOUTH-WEST</t>
  </si>
  <si>
    <t>Revision</t>
  </si>
  <si>
    <t>Job No:</t>
  </si>
  <si>
    <t>Page:</t>
  </si>
  <si>
    <t>C/01</t>
  </si>
  <si>
    <t xml:space="preserve">Section: </t>
  </si>
  <si>
    <t>FIRST FLOOR SLAB - SHEAR CHECKS</t>
  </si>
  <si>
    <t>Prepared By:</t>
  </si>
  <si>
    <t>DJ</t>
  </si>
  <si>
    <t>Date:</t>
  </si>
  <si>
    <r>
      <t xml:space="preserve">Spreadsheet provided by: </t>
    </r>
    <r>
      <rPr>
        <b/>
        <i/>
        <sz val="8"/>
        <rFont val="Arial CE"/>
      </rPr>
      <t>www.YourSpreadsheets.co.uk</t>
    </r>
  </si>
  <si>
    <r>
      <t xml:space="preserve">calculations are based on </t>
    </r>
    <r>
      <rPr>
        <b/>
        <sz val="8"/>
        <rFont val="Arial CE"/>
        <charset val="238"/>
      </rPr>
      <t>SEAOC PV2</t>
    </r>
    <r>
      <rPr>
        <sz val="8"/>
        <rFont val="Arial CE"/>
      </rPr>
      <t xml:space="preserve"> (2012) </t>
    </r>
    <r>
      <rPr>
        <sz val="8"/>
        <rFont val="Arial CE"/>
        <charset val="238"/>
      </rPr>
      <t xml:space="preserve">and </t>
    </r>
    <r>
      <rPr>
        <b/>
        <sz val="8"/>
        <rFont val="Arial CE"/>
      </rPr>
      <t>ASCE 7-10</t>
    </r>
    <r>
      <rPr>
        <sz val="8"/>
        <rFont val="Arial CE"/>
      </rPr>
      <t xml:space="preserve"> (2010)</t>
    </r>
  </si>
  <si>
    <r>
      <t xml:space="preserve">Mean roof height above ground 'h' </t>
    </r>
    <r>
      <rPr>
        <i/>
        <sz val="11"/>
        <rFont val="Calibri"/>
        <family val="2"/>
        <scheme val="minor"/>
      </rPr>
      <t>[ft]</t>
    </r>
    <r>
      <rPr>
        <sz val="11"/>
        <rFont val="Calibri"/>
        <family val="2"/>
        <scheme val="minor"/>
      </rPr>
      <t xml:space="preserve"> =</t>
    </r>
  </si>
  <si>
    <r>
      <t>Parapet height 'h</t>
    </r>
    <r>
      <rPr>
        <vertAlign val="subscript"/>
        <sz val="11"/>
        <color theme="1"/>
        <rFont val="Calibri"/>
        <family val="2"/>
        <scheme val="minor"/>
      </rPr>
      <t>pt</t>
    </r>
    <r>
      <rPr>
        <sz val="11"/>
        <color theme="1"/>
        <rFont val="Calibri"/>
        <family val="2"/>
        <scheme val="minor"/>
      </rPr>
      <t xml:space="preserve">' </t>
    </r>
    <r>
      <rPr>
        <i/>
        <sz val="11"/>
        <color theme="1"/>
        <rFont val="Calibri"/>
        <family val="2"/>
        <scheme val="minor"/>
      </rPr>
      <t>[ft]</t>
    </r>
    <r>
      <rPr>
        <sz val="11"/>
        <color theme="1"/>
        <rFont val="Calibri"/>
        <family val="2"/>
        <scheme val="minor"/>
      </rPr>
      <t xml:space="preserve"> =</t>
    </r>
  </si>
  <si>
    <t>BUILDING AND WIND DATA</t>
  </si>
  <si>
    <r>
      <t xml:space="preserve">Building length 'L' </t>
    </r>
    <r>
      <rPr>
        <i/>
        <sz val="11"/>
        <color theme="1"/>
        <rFont val="Calibri"/>
        <family val="2"/>
        <scheme val="minor"/>
      </rPr>
      <t>[ft]</t>
    </r>
    <r>
      <rPr>
        <sz val="11"/>
        <color theme="1"/>
        <rFont val="Calibri"/>
        <family val="2"/>
        <scheme val="minor"/>
      </rPr>
      <t xml:space="preserve"> =</t>
    </r>
  </si>
  <si>
    <r>
      <rPr>
        <i/>
        <sz val="11"/>
        <color theme="1"/>
        <rFont val="Calibri"/>
        <family val="2"/>
        <scheme val="minor"/>
      </rPr>
      <t>[deg]</t>
    </r>
    <r>
      <rPr>
        <sz val="11"/>
        <color theme="1"/>
        <rFont val="Calibri"/>
        <family val="2"/>
        <scheme val="minor"/>
      </rPr>
      <t xml:space="preserve"> =</t>
    </r>
  </si>
  <si>
    <t>roof type:</t>
  </si>
  <si>
    <t>PV panels mounted on flat roof - free standing (ballasted)</t>
  </si>
  <si>
    <t>PV panels mounted on flat roof - mechanically fixed</t>
  </si>
  <si>
    <t>PV panels mounted on or above pitched roof</t>
  </si>
  <si>
    <r>
      <t xml:space="preserve">Wind velocity 'V' </t>
    </r>
    <r>
      <rPr>
        <i/>
        <sz val="11"/>
        <color theme="1"/>
        <rFont val="Calibri"/>
        <family val="2"/>
        <scheme val="minor"/>
      </rPr>
      <t>[mph]</t>
    </r>
    <r>
      <rPr>
        <sz val="11"/>
        <color theme="1"/>
        <rFont val="Calibri"/>
        <family val="2"/>
        <scheme val="minor"/>
      </rPr>
      <t xml:space="preserve"> =</t>
    </r>
  </si>
  <si>
    <r>
      <t>Topographic factor 'K</t>
    </r>
    <r>
      <rPr>
        <vertAlign val="subscript"/>
        <sz val="11"/>
        <color theme="1"/>
        <rFont val="Calibri"/>
        <family val="2"/>
        <scheme val="minor"/>
      </rPr>
      <t>zt</t>
    </r>
    <r>
      <rPr>
        <sz val="11"/>
        <color theme="1"/>
        <rFont val="Calibri"/>
        <family val="2"/>
        <scheme val="minor"/>
      </rPr>
      <t>' =</t>
    </r>
  </si>
  <si>
    <r>
      <t>Wind directionality factor 'K</t>
    </r>
    <r>
      <rPr>
        <vertAlign val="subscript"/>
        <sz val="11"/>
        <color theme="1"/>
        <rFont val="Calibri"/>
        <family val="2"/>
        <scheme val="minor"/>
      </rPr>
      <t>d</t>
    </r>
    <r>
      <rPr>
        <sz val="11"/>
        <color theme="1"/>
        <rFont val="Calibri"/>
        <family val="2"/>
        <scheme val="minor"/>
      </rPr>
      <t>' =</t>
    </r>
  </si>
  <si>
    <r>
      <t xml:space="preserve">Panel width 'b' </t>
    </r>
    <r>
      <rPr>
        <i/>
        <sz val="11"/>
        <rFont val="Calibri"/>
        <family val="2"/>
        <scheme val="minor"/>
      </rPr>
      <t>[ft]</t>
    </r>
    <r>
      <rPr>
        <sz val="11"/>
        <rFont val="Calibri"/>
        <family val="2"/>
        <scheme val="minor"/>
      </rPr>
      <t xml:space="preserve"> =</t>
    </r>
  </si>
  <si>
    <r>
      <t>Panel chord lenght 'l</t>
    </r>
    <r>
      <rPr>
        <vertAlign val="subscript"/>
        <sz val="11"/>
        <rFont val="Calibri"/>
        <family val="2"/>
        <scheme val="minor"/>
      </rPr>
      <t>p</t>
    </r>
    <r>
      <rPr>
        <sz val="11"/>
        <rFont val="Calibri"/>
        <family val="2"/>
        <scheme val="minor"/>
      </rPr>
      <t xml:space="preserve">' </t>
    </r>
    <r>
      <rPr>
        <i/>
        <sz val="11"/>
        <rFont val="Calibri"/>
        <family val="2"/>
        <scheme val="minor"/>
      </rPr>
      <t>[ft]</t>
    </r>
    <r>
      <rPr>
        <sz val="11"/>
        <rFont val="Calibri"/>
        <family val="2"/>
        <scheme val="minor"/>
      </rPr>
      <t xml:space="preserve"> =</t>
    </r>
  </si>
  <si>
    <r>
      <t>Panel height above roof at low edge 'h</t>
    </r>
    <r>
      <rPr>
        <vertAlign val="subscript"/>
        <sz val="11"/>
        <rFont val="Calibri"/>
        <family val="2"/>
        <scheme val="minor"/>
      </rPr>
      <t>1</t>
    </r>
    <r>
      <rPr>
        <sz val="11"/>
        <rFont val="Calibri"/>
        <family val="2"/>
        <scheme val="minor"/>
      </rPr>
      <t xml:space="preserve">' </t>
    </r>
    <r>
      <rPr>
        <i/>
        <sz val="11"/>
        <rFont val="Calibri"/>
        <family val="2"/>
        <scheme val="minor"/>
      </rPr>
      <t>[ft]</t>
    </r>
    <r>
      <rPr>
        <sz val="11"/>
        <rFont val="Calibri"/>
        <family val="2"/>
        <scheme val="minor"/>
      </rPr>
      <t xml:space="preserve"> =</t>
    </r>
  </si>
  <si>
    <r>
      <t xml:space="preserve">Self weight of solar panel 'W' </t>
    </r>
    <r>
      <rPr>
        <i/>
        <sz val="11"/>
        <rFont val="Calibri"/>
        <family val="2"/>
        <scheme val="minor"/>
      </rPr>
      <t>[lbs]</t>
    </r>
    <r>
      <rPr>
        <sz val="11"/>
        <rFont val="Calibri"/>
        <family val="2"/>
        <scheme val="minor"/>
      </rPr>
      <t xml:space="preserve"> =</t>
    </r>
  </si>
  <si>
    <t>Coefficient of friction 'μ' =</t>
  </si>
  <si>
    <r>
      <t>Velocity pressure exposure coefficient 'K</t>
    </r>
    <r>
      <rPr>
        <vertAlign val="subscript"/>
        <sz val="11"/>
        <color theme="1"/>
        <rFont val="Calibri"/>
        <family val="2"/>
        <scheme val="minor"/>
      </rPr>
      <t>z</t>
    </r>
    <r>
      <rPr>
        <sz val="11"/>
        <color theme="1"/>
        <rFont val="Calibri"/>
        <family val="2"/>
        <scheme val="minor"/>
      </rPr>
      <t>' =</t>
    </r>
  </si>
  <si>
    <r>
      <t>Velocity pressure 'q</t>
    </r>
    <r>
      <rPr>
        <vertAlign val="subscript"/>
        <sz val="11"/>
        <color theme="1"/>
        <rFont val="Calibri"/>
        <family val="2"/>
        <scheme val="minor"/>
      </rPr>
      <t>h</t>
    </r>
    <r>
      <rPr>
        <sz val="11"/>
        <color theme="1"/>
        <rFont val="Calibri"/>
        <family val="2"/>
        <scheme val="minor"/>
      </rPr>
      <t xml:space="preserve">' </t>
    </r>
    <r>
      <rPr>
        <i/>
        <sz val="11"/>
        <color theme="1"/>
        <rFont val="Calibri"/>
        <family val="2"/>
        <scheme val="minor"/>
      </rPr>
      <t>[psf]</t>
    </r>
    <r>
      <rPr>
        <sz val="11"/>
        <color theme="1"/>
        <rFont val="Calibri"/>
        <family val="2"/>
        <scheme val="minor"/>
      </rPr>
      <t xml:space="preserve"> =</t>
    </r>
  </si>
  <si>
    <r>
      <t>Roof shape determinant 'a</t>
    </r>
    <r>
      <rPr>
        <vertAlign val="subscript"/>
        <sz val="11"/>
        <color theme="1"/>
        <rFont val="Calibri"/>
        <family val="2"/>
        <scheme val="minor"/>
      </rPr>
      <t>pv</t>
    </r>
    <r>
      <rPr>
        <sz val="11"/>
        <color theme="1"/>
        <rFont val="Calibri"/>
        <family val="2"/>
        <scheme val="minor"/>
      </rPr>
      <t xml:space="preserve">' </t>
    </r>
    <r>
      <rPr>
        <i/>
        <sz val="11"/>
        <color theme="1"/>
        <rFont val="Calibri"/>
        <family val="2"/>
        <scheme val="minor"/>
      </rPr>
      <t>[ft]</t>
    </r>
    <r>
      <rPr>
        <sz val="11"/>
        <color theme="1"/>
        <rFont val="Calibri"/>
        <family val="2"/>
        <scheme val="minor"/>
      </rPr>
      <t xml:space="preserve"> =</t>
    </r>
  </si>
  <si>
    <r>
      <t xml:space="preserve">PV ARRAY LOCATION </t>
    </r>
    <r>
      <rPr>
        <sz val="11"/>
        <rFont val="Calibri"/>
        <family val="2"/>
        <scheme val="minor"/>
      </rPr>
      <t>(see layout)</t>
    </r>
  </si>
  <si>
    <t>PV PANEL DATA</t>
  </si>
  <si>
    <t>PHOTOVOLTAIC (PV) PANEL TYPE</t>
  </si>
  <si>
    <t>Calculate for:</t>
  </si>
  <si>
    <t>Worst case panel design</t>
  </si>
  <si>
    <t>North-East panel design</t>
  </si>
  <si>
    <t>South-East panel design</t>
  </si>
  <si>
    <t>South-West panel design</t>
  </si>
  <si>
    <t>North-West panel design</t>
  </si>
  <si>
    <t>Calculation type:</t>
  </si>
  <si>
    <t>Direction:</t>
  </si>
  <si>
    <r>
      <t>'d</t>
    </r>
    <r>
      <rPr>
        <vertAlign val="subscript"/>
        <sz val="11"/>
        <rFont val="Calibri"/>
        <family val="2"/>
        <scheme val="minor"/>
      </rPr>
      <t>adjacent</t>
    </r>
    <r>
      <rPr>
        <sz val="11"/>
        <rFont val="Calibri"/>
        <family val="2"/>
        <scheme val="minor"/>
      </rPr>
      <t xml:space="preserve">' </t>
    </r>
    <r>
      <rPr>
        <i/>
        <sz val="11"/>
        <rFont val="Calibri"/>
        <family val="2"/>
        <scheme val="minor"/>
      </rPr>
      <t>[ft]</t>
    </r>
    <r>
      <rPr>
        <sz val="11"/>
        <rFont val="Calibri"/>
        <family val="2"/>
        <scheme val="minor"/>
      </rPr>
      <t>:</t>
    </r>
  </si>
  <si>
    <r>
      <t>'d</t>
    </r>
    <r>
      <rPr>
        <vertAlign val="subscript"/>
        <sz val="11"/>
        <rFont val="Calibri"/>
        <family val="2"/>
        <scheme val="minor"/>
      </rPr>
      <t>edge</t>
    </r>
    <r>
      <rPr>
        <sz val="11"/>
        <rFont val="Calibri"/>
        <family val="2"/>
        <scheme val="minor"/>
      </rPr>
      <t xml:space="preserve">' </t>
    </r>
    <r>
      <rPr>
        <i/>
        <sz val="11"/>
        <rFont val="Calibri"/>
        <family val="2"/>
        <scheme val="minor"/>
      </rPr>
      <t>[ft]</t>
    </r>
    <r>
      <rPr>
        <sz val="11"/>
        <rFont val="Calibri"/>
        <family val="2"/>
        <scheme val="minor"/>
      </rPr>
      <t>:</t>
    </r>
  </si>
  <si>
    <t>Edge panel:</t>
  </si>
  <si>
    <t>Yes</t>
  </si>
  <si>
    <t>No</t>
  </si>
  <si>
    <t>PV ARRAY ANALYSIS</t>
  </si>
  <si>
    <t>Corner:</t>
  </si>
  <si>
    <t>North-East</t>
  </si>
  <si>
    <t>South-East</t>
  </si>
  <si>
    <t>South-West</t>
  </si>
  <si>
    <t>North-West</t>
  </si>
  <si>
    <t>Zone:</t>
  </si>
  <si>
    <r>
      <t>'h</t>
    </r>
    <r>
      <rPr>
        <vertAlign val="subscript"/>
        <sz val="11"/>
        <rFont val="Calibri"/>
        <family val="2"/>
        <scheme val="minor"/>
      </rPr>
      <t>c-X</t>
    </r>
    <r>
      <rPr>
        <sz val="11"/>
        <rFont val="Calibri"/>
        <family val="2"/>
        <scheme val="minor"/>
      </rPr>
      <t xml:space="preserve">' </t>
    </r>
    <r>
      <rPr>
        <i/>
        <sz val="11"/>
        <rFont val="Calibri"/>
        <family val="2"/>
        <scheme val="minor"/>
      </rPr>
      <t>[ft]</t>
    </r>
    <r>
      <rPr>
        <sz val="11"/>
        <rFont val="Calibri"/>
        <family val="2"/>
        <scheme val="minor"/>
      </rPr>
      <t>:</t>
    </r>
  </si>
  <si>
    <t>'E' factor:</t>
  </si>
  <si>
    <t>Interpolation net pressure coefficients, (GC_rn)_nom * γ_c =</t>
  </si>
  <si>
    <r>
      <t>'γ</t>
    </r>
    <r>
      <rPr>
        <vertAlign val="subscript"/>
        <sz val="11"/>
        <rFont val="Calibri"/>
        <family val="2"/>
        <scheme val="minor"/>
      </rPr>
      <t>c</t>
    </r>
    <r>
      <rPr>
        <sz val="11"/>
        <rFont val="Calibri"/>
        <family val="2"/>
        <scheme val="minor"/>
      </rPr>
      <t>*(GC</t>
    </r>
    <r>
      <rPr>
        <vertAlign val="subscript"/>
        <sz val="11"/>
        <rFont val="Calibri"/>
        <family val="2"/>
        <scheme val="minor"/>
      </rPr>
      <t>rn</t>
    </r>
    <r>
      <rPr>
        <sz val="11"/>
        <rFont val="Calibri"/>
        <family val="2"/>
        <scheme val="minor"/>
      </rPr>
      <t>)</t>
    </r>
    <r>
      <rPr>
        <vertAlign val="subscript"/>
        <sz val="11"/>
        <rFont val="Calibri"/>
        <family val="2"/>
        <scheme val="minor"/>
      </rPr>
      <t>nom</t>
    </r>
    <r>
      <rPr>
        <sz val="11"/>
        <rFont val="Calibri"/>
        <family val="2"/>
        <scheme val="minor"/>
      </rPr>
      <t>'</t>
    </r>
  </si>
  <si>
    <r>
      <t>'GC</t>
    </r>
    <r>
      <rPr>
        <vertAlign val="subscript"/>
        <sz val="11"/>
        <rFont val="Calibri"/>
        <family val="2"/>
        <scheme val="minor"/>
      </rPr>
      <t>p</t>
    </r>
    <r>
      <rPr>
        <sz val="11"/>
        <rFont val="Calibri"/>
        <family val="2"/>
        <scheme val="minor"/>
      </rPr>
      <t>'</t>
    </r>
  </si>
  <si>
    <t>GCp calculations (plus and minus)</t>
  </si>
  <si>
    <t>yc * GCrn_nom * E</t>
  </si>
  <si>
    <t>not used anymore</t>
  </si>
  <si>
    <r>
      <t xml:space="preserve">Effective wind area 'A' </t>
    </r>
    <r>
      <rPr>
        <i/>
        <sz val="11"/>
        <rFont val="Calibri"/>
        <family val="2"/>
        <scheme val="minor"/>
      </rPr>
      <t>[sqft]</t>
    </r>
    <r>
      <rPr>
        <sz val="11"/>
        <rFont val="Calibri"/>
        <family val="2"/>
        <scheme val="minor"/>
      </rPr>
      <t xml:space="preserve"> =</t>
    </r>
  </si>
  <si>
    <r>
      <t>Normalized wind area 'A</t>
    </r>
    <r>
      <rPr>
        <vertAlign val="subscript"/>
        <sz val="11"/>
        <rFont val="Calibri"/>
        <family val="2"/>
        <scheme val="minor"/>
      </rPr>
      <t>n</t>
    </r>
    <r>
      <rPr>
        <sz val="11"/>
        <rFont val="Calibri"/>
        <family val="2"/>
        <scheme val="minor"/>
      </rPr>
      <t xml:space="preserve">' </t>
    </r>
    <r>
      <rPr>
        <i/>
        <sz val="11"/>
        <rFont val="Calibri"/>
        <family val="2"/>
        <scheme val="minor"/>
      </rPr>
      <t>[sqft]</t>
    </r>
    <r>
      <rPr>
        <sz val="11"/>
        <rFont val="Calibri"/>
        <family val="2"/>
        <scheme val="minor"/>
      </rPr>
      <t xml:space="preserve"> =</t>
    </r>
  </si>
  <si>
    <r>
      <t>Required ballast per PV panel 'W</t>
    </r>
    <r>
      <rPr>
        <vertAlign val="subscript"/>
        <sz val="11"/>
        <rFont val="Calibri"/>
        <family val="2"/>
      </rPr>
      <t>ballast</t>
    </r>
    <r>
      <rPr>
        <sz val="11"/>
        <rFont val="Calibri"/>
        <family val="2"/>
      </rPr>
      <t xml:space="preserve">' </t>
    </r>
    <r>
      <rPr>
        <i/>
        <sz val="11"/>
        <rFont val="Calibri"/>
        <family val="2"/>
      </rPr>
      <t>[lbs]</t>
    </r>
    <r>
      <rPr>
        <sz val="11"/>
        <rFont val="Calibri"/>
        <family val="2"/>
      </rPr>
      <t xml:space="preserve"> =</t>
    </r>
  </si>
  <si>
    <r>
      <t>Panel chord length factor 'γ</t>
    </r>
    <r>
      <rPr>
        <vertAlign val="subscript"/>
        <sz val="11"/>
        <rFont val="Calibri"/>
        <family val="2"/>
        <scheme val="minor"/>
      </rPr>
      <t>c</t>
    </r>
    <r>
      <rPr>
        <sz val="11"/>
        <rFont val="Calibri"/>
        <family val="2"/>
        <scheme val="minor"/>
      </rPr>
      <t xml:space="preserve">' </t>
    </r>
    <r>
      <rPr>
        <sz val="11"/>
        <rFont val="Calibri"/>
        <family val="2"/>
        <scheme val="minor"/>
      </rPr>
      <t>=</t>
    </r>
  </si>
  <si>
    <r>
      <t>Parapet height factor 'γ</t>
    </r>
    <r>
      <rPr>
        <vertAlign val="subscript"/>
        <sz val="11"/>
        <rFont val="Calibri"/>
        <family val="2"/>
        <scheme val="minor"/>
      </rPr>
      <t>p</t>
    </r>
    <r>
      <rPr>
        <sz val="11"/>
        <rFont val="Calibri"/>
        <family val="2"/>
        <scheme val="minor"/>
      </rPr>
      <t>' =</t>
    </r>
  </si>
  <si>
    <r>
      <t>Tributary area 'A</t>
    </r>
    <r>
      <rPr>
        <vertAlign val="subscript"/>
        <sz val="11"/>
        <rFont val="Calibri"/>
        <family val="2"/>
        <scheme val="minor"/>
      </rPr>
      <t>t</t>
    </r>
    <r>
      <rPr>
        <sz val="11"/>
        <rFont val="Calibri"/>
        <family val="2"/>
        <scheme val="minor"/>
      </rPr>
      <t xml:space="preserve">' </t>
    </r>
    <r>
      <rPr>
        <i/>
        <sz val="11"/>
        <rFont val="Calibri"/>
        <family val="2"/>
        <scheme val="minor"/>
      </rPr>
      <t>[sqft]</t>
    </r>
    <r>
      <rPr>
        <sz val="11"/>
        <rFont val="Calibri"/>
        <family val="2"/>
        <scheme val="minor"/>
      </rPr>
      <t xml:space="preserve"> =</t>
    </r>
  </si>
  <si>
    <t>SUMMARY</t>
  </si>
  <si>
    <r>
      <t xml:space="preserve">DIAGRAM: </t>
    </r>
    <r>
      <rPr>
        <sz val="11"/>
        <rFont val="Calibri"/>
        <family val="2"/>
        <scheme val="minor"/>
      </rPr>
      <t>SECTION</t>
    </r>
  </si>
  <si>
    <r>
      <t xml:space="preserve">DIAGRAM: </t>
    </r>
    <r>
      <rPr>
        <sz val="11"/>
        <rFont val="Calibri"/>
        <family val="2"/>
        <scheme val="minor"/>
      </rPr>
      <t>ROOF LAYOUT</t>
    </r>
  </si>
  <si>
    <r>
      <t>CALCULATIONS:</t>
    </r>
    <r>
      <rPr>
        <sz val="11"/>
        <rFont val="Calibri"/>
        <family val="2"/>
        <scheme val="minor"/>
      </rPr>
      <t xml:space="preserve"> WIND PRESSURES</t>
    </r>
  </si>
  <si>
    <r>
      <t xml:space="preserve">CALCULATIONS: </t>
    </r>
    <r>
      <rPr>
        <sz val="11"/>
        <rFont val="Calibri"/>
        <family val="2"/>
      </rPr>
      <t>WIND FORCES</t>
    </r>
  </si>
  <si>
    <r>
      <t>Uplift force on PV panel 'F</t>
    </r>
    <r>
      <rPr>
        <vertAlign val="subscript"/>
        <sz val="11"/>
        <rFont val="Calibri"/>
        <family val="2"/>
        <scheme val="minor"/>
      </rPr>
      <t>uplift</t>
    </r>
    <r>
      <rPr>
        <sz val="11"/>
        <rFont val="Calibri"/>
        <family val="2"/>
        <scheme val="minor"/>
      </rPr>
      <t xml:space="preserve">' </t>
    </r>
    <r>
      <rPr>
        <i/>
        <sz val="11"/>
        <rFont val="Calibri"/>
        <family val="2"/>
        <scheme val="minor"/>
      </rPr>
      <t>[lbs]</t>
    </r>
    <r>
      <rPr>
        <sz val="11"/>
        <rFont val="Calibri"/>
        <family val="2"/>
        <scheme val="minor"/>
      </rPr>
      <t xml:space="preserve"> =</t>
    </r>
  </si>
  <si>
    <r>
      <t>Design uplift wind suction 'p</t>
    </r>
    <r>
      <rPr>
        <vertAlign val="subscript"/>
        <sz val="11"/>
        <rFont val="Calibri"/>
        <family val="2"/>
        <scheme val="minor"/>
      </rPr>
      <t>uplift</t>
    </r>
    <r>
      <rPr>
        <sz val="11"/>
        <rFont val="Calibri"/>
        <family val="2"/>
        <scheme val="minor"/>
      </rPr>
      <t xml:space="preserve">' </t>
    </r>
    <r>
      <rPr>
        <i/>
        <sz val="11"/>
        <rFont val="Calibri"/>
        <family val="2"/>
        <scheme val="minor"/>
      </rPr>
      <t>[psf]</t>
    </r>
    <r>
      <rPr>
        <sz val="11"/>
        <rFont val="Calibri"/>
        <family val="2"/>
        <scheme val="minor"/>
      </rPr>
      <t xml:space="preserve"> =</t>
    </r>
  </si>
  <si>
    <r>
      <t>Design in-to-roof wind pressure 'p</t>
    </r>
    <r>
      <rPr>
        <vertAlign val="subscript"/>
        <sz val="11"/>
        <rFont val="Calibri"/>
        <family val="2"/>
        <scheme val="minor"/>
      </rPr>
      <t>in-to-roof</t>
    </r>
    <r>
      <rPr>
        <sz val="11"/>
        <rFont val="Calibri"/>
        <family val="2"/>
        <scheme val="minor"/>
      </rPr>
      <t xml:space="preserve">' </t>
    </r>
    <r>
      <rPr>
        <i/>
        <sz val="11"/>
        <rFont val="Calibri"/>
        <family val="2"/>
        <scheme val="minor"/>
      </rPr>
      <t>[psf]</t>
    </r>
    <r>
      <rPr>
        <sz val="11"/>
        <rFont val="Calibri"/>
        <family val="2"/>
        <scheme val="minor"/>
      </rPr>
      <t xml:space="preserve"> =</t>
    </r>
  </si>
  <si>
    <r>
      <t>In-to-roof force on PV panel 'F</t>
    </r>
    <r>
      <rPr>
        <vertAlign val="subscript"/>
        <sz val="11"/>
        <rFont val="Calibri"/>
        <family val="2"/>
        <scheme val="minor"/>
      </rPr>
      <t>in-to-roof</t>
    </r>
    <r>
      <rPr>
        <sz val="11"/>
        <rFont val="Calibri"/>
        <family val="2"/>
        <scheme val="minor"/>
      </rPr>
      <t xml:space="preserve">' </t>
    </r>
    <r>
      <rPr>
        <i/>
        <sz val="11"/>
        <rFont val="Calibri"/>
        <family val="2"/>
        <scheme val="minor"/>
      </rPr>
      <t>[lbs]</t>
    </r>
    <r>
      <rPr>
        <sz val="11"/>
        <rFont val="Calibri"/>
        <family val="2"/>
        <scheme val="minor"/>
      </rPr>
      <t xml:space="preserve"> =</t>
    </r>
  </si>
  <si>
    <r>
      <t>Vertical uplift force on panel 'F</t>
    </r>
    <r>
      <rPr>
        <vertAlign val="subscript"/>
        <sz val="11"/>
        <rFont val="Calibri"/>
        <family val="2"/>
        <scheme val="minor"/>
      </rPr>
      <t>vert</t>
    </r>
    <r>
      <rPr>
        <sz val="11"/>
        <rFont val="Calibri"/>
        <family val="2"/>
        <scheme val="minor"/>
      </rPr>
      <t xml:space="preserve">' </t>
    </r>
    <r>
      <rPr>
        <i/>
        <sz val="11"/>
        <rFont val="Calibri"/>
        <family val="2"/>
        <scheme val="minor"/>
      </rPr>
      <t>[lbs]</t>
    </r>
    <r>
      <rPr>
        <sz val="11"/>
        <rFont val="Calibri"/>
        <family val="2"/>
        <scheme val="minor"/>
      </rPr>
      <t xml:space="preserve"> =</t>
    </r>
  </si>
  <si>
    <t>Reduction for wind tunnel tests &amp; load sharing =</t>
  </si>
  <si>
    <t>RESULTS</t>
  </si>
  <si>
    <r>
      <t>Dead load of panel over module area 'P</t>
    </r>
    <r>
      <rPr>
        <vertAlign val="subscript"/>
        <sz val="11"/>
        <rFont val="Calibri"/>
        <family val="2"/>
        <scheme val="minor"/>
      </rPr>
      <t>D</t>
    </r>
    <r>
      <rPr>
        <sz val="11"/>
        <rFont val="Calibri"/>
        <family val="2"/>
        <scheme val="minor"/>
      </rPr>
      <t xml:space="preserve">' </t>
    </r>
    <r>
      <rPr>
        <i/>
        <sz val="11"/>
        <rFont val="Calibri"/>
        <family val="2"/>
        <scheme val="minor"/>
      </rPr>
      <t>[psf]</t>
    </r>
    <r>
      <rPr>
        <sz val="11"/>
        <rFont val="Calibri"/>
        <family val="2"/>
        <scheme val="minor"/>
      </rPr>
      <t xml:space="preserve"> =</t>
    </r>
  </si>
  <si>
    <r>
      <t>Required ballast for uplift 'W</t>
    </r>
    <r>
      <rPr>
        <vertAlign val="subscript"/>
        <sz val="11"/>
        <rFont val="Calibri"/>
        <family val="2"/>
      </rPr>
      <t>blst_uplift</t>
    </r>
    <r>
      <rPr>
        <sz val="11"/>
        <rFont val="Calibri"/>
        <family val="2"/>
      </rPr>
      <t xml:space="preserve">' </t>
    </r>
    <r>
      <rPr>
        <i/>
        <sz val="11"/>
        <rFont val="Calibri"/>
        <family val="2"/>
      </rPr>
      <t>[lbs]</t>
    </r>
    <r>
      <rPr>
        <sz val="11"/>
        <rFont val="Calibri"/>
        <family val="2"/>
      </rPr>
      <t xml:space="preserve"> =</t>
    </r>
  </si>
  <si>
    <r>
      <t>Required ballast for sliding 'W</t>
    </r>
    <r>
      <rPr>
        <vertAlign val="subscript"/>
        <sz val="11"/>
        <rFont val="Calibri"/>
        <family val="2"/>
      </rPr>
      <t>blst_sliding</t>
    </r>
    <r>
      <rPr>
        <sz val="11"/>
        <rFont val="Calibri"/>
        <family val="2"/>
      </rPr>
      <t xml:space="preserve">' </t>
    </r>
    <r>
      <rPr>
        <i/>
        <sz val="11"/>
        <rFont val="Calibri"/>
        <family val="2"/>
      </rPr>
      <t>[lbs]</t>
    </r>
    <r>
      <rPr>
        <sz val="11"/>
        <rFont val="Calibri"/>
        <family val="2"/>
      </rPr>
      <t xml:space="preserve"> =</t>
    </r>
  </si>
  <si>
    <t>Building mean height less than 60ft:</t>
  </si>
  <si>
    <t>Building mean height less than min L, B:</t>
  </si>
  <si>
    <r>
      <t xml:space="preserve">Building width 'B' </t>
    </r>
    <r>
      <rPr>
        <i/>
        <sz val="11"/>
        <color theme="1"/>
        <rFont val="Calibri"/>
        <family val="2"/>
        <scheme val="minor"/>
      </rPr>
      <t>[ft]</t>
    </r>
    <r>
      <rPr>
        <sz val="11"/>
        <color theme="1"/>
        <rFont val="Calibri"/>
        <family val="2"/>
        <scheme val="minor"/>
      </rPr>
      <t xml:space="preserve"> =</t>
    </r>
  </si>
  <si>
    <r>
      <t>Force per fixing per PV panel 'F</t>
    </r>
    <r>
      <rPr>
        <vertAlign val="subscript"/>
        <sz val="11"/>
        <rFont val="Calibri"/>
        <family val="2"/>
        <scheme val="minor"/>
      </rPr>
      <t>comp_fixing</t>
    </r>
    <r>
      <rPr>
        <sz val="11"/>
        <rFont val="Calibri"/>
        <family val="2"/>
        <scheme val="minor"/>
      </rPr>
      <t xml:space="preserve">' </t>
    </r>
    <r>
      <rPr>
        <i/>
        <sz val="11"/>
        <rFont val="Calibri"/>
        <family val="2"/>
        <scheme val="minor"/>
      </rPr>
      <t>[lbs]</t>
    </r>
    <r>
      <rPr>
        <sz val="11"/>
        <rFont val="Calibri"/>
        <family val="2"/>
        <scheme val="minor"/>
      </rPr>
      <t xml:space="preserve"> =</t>
    </r>
  </si>
  <si>
    <r>
      <t>Force per fixing per PV panel 'F</t>
    </r>
    <r>
      <rPr>
        <vertAlign val="subscript"/>
        <sz val="11"/>
        <rFont val="Calibri"/>
        <family val="2"/>
        <scheme val="minor"/>
      </rPr>
      <t>tens_fixing</t>
    </r>
    <r>
      <rPr>
        <sz val="11"/>
        <rFont val="Calibri"/>
        <family val="2"/>
        <scheme val="minor"/>
      </rPr>
      <t xml:space="preserve">' </t>
    </r>
    <r>
      <rPr>
        <i/>
        <sz val="11"/>
        <rFont val="Calibri"/>
        <family val="2"/>
        <scheme val="minor"/>
      </rPr>
      <t>[lbs]</t>
    </r>
    <r>
      <rPr>
        <sz val="11"/>
        <rFont val="Calibri"/>
        <family val="2"/>
        <scheme val="minor"/>
      </rPr>
      <t xml:space="preserve"> =</t>
    </r>
  </si>
  <si>
    <r>
      <t>Horizontal 'uplift' force on panel 'F</t>
    </r>
    <r>
      <rPr>
        <vertAlign val="subscript"/>
        <sz val="11"/>
        <rFont val="Calibri"/>
        <family val="2"/>
        <scheme val="minor"/>
      </rPr>
      <t>horiz</t>
    </r>
    <r>
      <rPr>
        <sz val="11"/>
        <rFont val="Calibri"/>
        <family val="2"/>
        <scheme val="minor"/>
      </rPr>
      <t xml:space="preserve">' </t>
    </r>
    <r>
      <rPr>
        <i/>
        <sz val="11"/>
        <rFont val="Calibri"/>
        <family val="2"/>
        <scheme val="minor"/>
      </rPr>
      <t>[lbs]</t>
    </r>
    <r>
      <rPr>
        <sz val="11"/>
        <rFont val="Calibri"/>
        <family val="2"/>
        <scheme val="minor"/>
      </rPr>
      <t xml:space="preserve"> =</t>
    </r>
  </si>
  <si>
    <t>Required ballast weight for sliding, W_blst_sld [lbs] =</t>
  </si>
  <si>
    <r>
      <t>Force per fixing per PV panel 'F</t>
    </r>
    <r>
      <rPr>
        <vertAlign val="subscript"/>
        <sz val="11"/>
        <rFont val="Calibri"/>
        <family val="2"/>
        <scheme val="minor"/>
      </rPr>
      <t>shear_fixing</t>
    </r>
    <r>
      <rPr>
        <sz val="11"/>
        <rFont val="Calibri"/>
        <family val="2"/>
        <scheme val="minor"/>
      </rPr>
      <t xml:space="preserve">' </t>
    </r>
    <r>
      <rPr>
        <i/>
        <sz val="11"/>
        <rFont val="Calibri"/>
        <family val="2"/>
        <scheme val="minor"/>
      </rPr>
      <t>[lbs]</t>
    </r>
    <r>
      <rPr>
        <sz val="11"/>
        <rFont val="Calibri"/>
        <family val="2"/>
        <scheme val="minor"/>
      </rPr>
      <t xml:space="preserve"> =</t>
    </r>
  </si>
  <si>
    <t>per panel:</t>
  </si>
  <si>
    <t>without s/w</t>
  </si>
  <si>
    <t>Designer's notes here if any.</t>
  </si>
  <si>
    <t>(Not to scale)</t>
  </si>
  <si>
    <t>NORTH Horizontal distance measured orthogonal to the panel edges in the NORTH direction to building edge [ft] =</t>
  </si>
  <si>
    <t>EAST Horizontal distance measured orthogonal to the panel edges in the EAST direction to building edge [ft] =</t>
  </si>
  <si>
    <t>SOUTH Horizontal distance measured orthogonal to the panel edges in the SOUTH direction to building edge [ft] =</t>
  </si>
  <si>
    <t>WEST Horizontal distance measured orthogonal to the panel edges in the WEST direction to building edge [ft] =</t>
  </si>
  <si>
    <r>
      <t>d</t>
    </r>
    <r>
      <rPr>
        <vertAlign val="subscript"/>
        <sz val="9"/>
        <rFont val="Calibri"/>
        <family val="2"/>
        <scheme val="minor"/>
      </rPr>
      <t>edge</t>
    </r>
    <r>
      <rPr>
        <sz val="9"/>
        <rFont val="Calibri"/>
        <family val="2"/>
        <scheme val="minor"/>
      </rPr>
      <t xml:space="preserve"> - distance to building edge in given direction.
edge panel - panel unobstracted by other panels in given direction.
d</t>
    </r>
    <r>
      <rPr>
        <vertAlign val="subscript"/>
        <sz val="9"/>
        <rFont val="Calibri"/>
        <family val="2"/>
        <scheme val="minor"/>
      </rPr>
      <t>adjacent</t>
    </r>
    <r>
      <rPr>
        <sz val="9"/>
        <rFont val="Calibri"/>
        <family val="2"/>
        <scheme val="minor"/>
      </rPr>
      <t xml:space="preserve"> - distance to adjacent panel in given direction.</t>
    </r>
  </si>
  <si>
    <t>edge panel:</t>
  </si>
  <si>
    <t>(Not to scale. Panels and obstructions are indicative only)</t>
  </si>
  <si>
    <t>h &lt; min(L,B)</t>
  </si>
  <si>
    <t>diagram data</t>
  </si>
  <si>
    <t>lp</t>
  </si>
  <si>
    <t>h1</t>
  </si>
  <si>
    <t>lp - sloped roof</t>
  </si>
  <si>
    <t>roof angle</t>
  </si>
  <si>
    <t>panel angle</t>
  </si>
  <si>
    <r>
      <rPr>
        <b/>
        <sz val="13"/>
        <rFont val="Arial"/>
        <family val="2"/>
      </rPr>
      <t xml:space="preserve">  YourSpreadsheets™</t>
    </r>
    <r>
      <rPr>
        <sz val="9"/>
        <rFont val="Arial"/>
        <family val="2"/>
      </rPr>
      <t xml:space="preserve">
</t>
    </r>
    <r>
      <rPr>
        <sz val="10"/>
        <rFont val="Arial"/>
        <family val="2"/>
      </rPr>
      <t xml:space="preserve">   2nd Floor, 52 Marcus Hill, London
   www.YourSpreadsheets.co.uk
   Tel: 020 7542 8734</t>
    </r>
  </si>
  <si>
    <t>TEST PROJECT</t>
  </si>
  <si>
    <t>length</t>
  </si>
  <si>
    <t>depth</t>
  </si>
  <si>
    <r>
      <t xml:space="preserve">General information:
</t>
    </r>
    <r>
      <rPr>
        <sz val="10"/>
        <rFont val="Arial CE"/>
      </rPr>
      <t>Note: This spreadsheet contains macros. These must be enabled to use this spreadsheet.</t>
    </r>
  </si>
  <si>
    <t>The Author takes no liability for use of this spreadsheet and gives no guarantee that it is error free. 
In no event shall the Author be responsible for any special, incidental or consequential damages whatsoever arising from the use of this spreadsheet, even if the Author has been advised of the possibility of such damage.
This spreadsheet is a freeware and can be distributed freely but only in its original form.
Reverse-engineering, decompiling or disassembling of this spreadsheet is not allowable.
A full list of terms and conditions can be found here:</t>
  </si>
  <si>
    <t>www.yourspreadsheets.co.uk/checkout.html</t>
  </si>
  <si>
    <r>
      <t xml:space="preserve">
By using this spreadsheet you understand and agree with the terms and conditions. You also acknowledge that you do not become an owner of this spreadsheet.
</t>
    </r>
    <r>
      <rPr>
        <b/>
        <sz val="10"/>
        <rFont val="Arial CE"/>
      </rPr>
      <t>Damian Janicki</t>
    </r>
  </si>
  <si>
    <r>
      <t xml:space="preserve">This is a </t>
    </r>
    <r>
      <rPr>
        <b/>
        <sz val="10"/>
        <rFont val="Arial CE"/>
      </rPr>
      <t>Free Lite</t>
    </r>
    <r>
      <rPr>
        <sz val="10"/>
        <rFont val="Arial CE"/>
      </rPr>
      <t xml:space="preserve"> Version. The full version of the spreadsheet allows to:
- Input your company information and change logo
- Change anlge, weight and area  of PV module.</t>
    </r>
  </si>
  <si>
    <r>
      <t xml:space="preserve">Version: </t>
    </r>
    <r>
      <rPr>
        <b/>
        <sz val="10"/>
        <rFont val="Arial CE"/>
      </rPr>
      <t>1.1. - FREE LITE VERSION</t>
    </r>
  </si>
  <si>
    <r>
      <t xml:space="preserve">© 2014-2019 </t>
    </r>
    <r>
      <rPr>
        <b/>
        <sz val="10"/>
        <rFont val="Arial CE"/>
      </rPr>
      <t>Damian Janicki</t>
    </r>
  </si>
  <si>
    <r>
      <t>This spreadsheet is based on SEAOC PV2 and ASCE 7-10.
Changelog:
2019.11.17 - v.1.2.</t>
    </r>
    <r>
      <rPr>
        <sz val="10"/>
        <rFont val="Arial CE"/>
      </rPr>
      <t xml:space="preserve"> - added checks for maximum panel width and height above roof</t>
    </r>
    <r>
      <rPr>
        <b/>
        <sz val="10"/>
        <rFont val="Arial CE"/>
        <charset val="238"/>
      </rPr>
      <t xml:space="preserve">
2014.02.22 - v.1.0.</t>
    </r>
    <r>
      <rPr>
        <sz val="10"/>
        <rFont val="Arial CE"/>
      </rPr>
      <t xml:space="preserve"> - official release of the spreadsheet.</t>
    </r>
  </si>
  <si>
    <t>BASIC GEOMETRY CHECKS</t>
  </si>
  <si>
    <t>h &lt; 60ft</t>
  </si>
  <si>
    <r>
      <t>l</t>
    </r>
    <r>
      <rPr>
        <vertAlign val="subscript"/>
        <sz val="11"/>
        <color theme="1"/>
        <rFont val="Calibri"/>
        <family val="2"/>
        <scheme val="minor"/>
      </rPr>
      <t>p</t>
    </r>
    <r>
      <rPr>
        <sz val="11"/>
        <color theme="1"/>
        <rFont val="Calibri"/>
        <family val="2"/>
        <scheme val="minor"/>
      </rPr>
      <t xml:space="preserve"> &lt; 6'-8"</t>
    </r>
  </si>
  <si>
    <r>
      <t>h</t>
    </r>
    <r>
      <rPr>
        <vertAlign val="subscript"/>
        <sz val="11"/>
        <color theme="1"/>
        <rFont val="Calibri"/>
        <family val="2"/>
        <scheme val="minor"/>
      </rPr>
      <t>1</t>
    </r>
    <r>
      <rPr>
        <sz val="11"/>
        <color theme="1"/>
        <rFont val="Calibri"/>
        <family val="2"/>
        <scheme val="minor"/>
      </rPr>
      <t xml:space="preserve"> &lt; 2'-0"</t>
    </r>
  </si>
  <si>
    <r>
      <t xml:space="preserve">version: </t>
    </r>
    <r>
      <rPr>
        <b/>
        <sz val="10"/>
        <rFont val="Arial CE"/>
        <charset val="238"/>
      </rPr>
      <t>1.1. - FREE LITE VERSION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</si>
</sst>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
    <numFmt numFmtId="166" formatCode="0.000"/>
  </numFmts>
  <fonts count="38">
    <font>
      <sz val="11"/>
      <color theme="1"/>
      <name val="Calibri"/>
      <family val="2"/>
      <scheme val="minor"/>
    </font>
    <font>
      <b/>
      <sz val="11"/>
      <color theme="1"/>
      <name val="Calibri"/>
      <family val="2"/>
      <scheme val="minor"/>
    </font>
    <font>
      <sz val="11"/>
      <color theme="1"/>
      <name val="Calibri"/>
      <family val="2"/>
    </font>
    <font>
      <sz val="11"/>
      <name val="Calibri"/>
      <family val="2"/>
      <scheme val="minor"/>
    </font>
    <font>
      <b/>
      <sz val="10"/>
      <name val="Arial CE"/>
    </font>
    <font>
      <b/>
      <sz val="10"/>
      <name val="Arial CE"/>
      <charset val="238"/>
    </font>
    <font>
      <u/>
      <sz val="10"/>
      <color indexed="12"/>
      <name val="Arial CE"/>
      <charset val="238"/>
    </font>
    <font>
      <sz val="10"/>
      <name val="Arial CE"/>
    </font>
    <font>
      <sz val="10"/>
      <name val="Arial CE"/>
      <charset val="238"/>
    </font>
    <font>
      <b/>
      <sz val="12"/>
      <name val="Arial"/>
      <family val="2"/>
      <charset val="238"/>
    </font>
    <font>
      <sz val="9"/>
      <name val="Arial"/>
      <family val="2"/>
    </font>
    <font>
      <b/>
      <sz val="13"/>
      <name val="Arial"/>
      <family val="2"/>
      <charset val="238"/>
    </font>
    <font>
      <b/>
      <sz val="13"/>
      <name val="Calibri"/>
      <family val="2"/>
      <scheme val="minor"/>
    </font>
    <font>
      <b/>
      <sz val="11"/>
      <name val="Calibri"/>
      <family val="2"/>
      <scheme val="minor"/>
    </font>
    <font>
      <sz val="11"/>
      <name val="Arial CE"/>
      <charset val="238"/>
    </font>
    <font>
      <u/>
      <sz val="11"/>
      <color indexed="12"/>
      <name val="Calibri"/>
      <family val="2"/>
      <scheme val="minor"/>
    </font>
    <font>
      <b/>
      <sz val="11"/>
      <color rgb="FF0000CC"/>
      <name val="Calibri"/>
      <family val="2"/>
      <scheme val="minor"/>
    </font>
    <font>
      <i/>
      <sz val="11"/>
      <name val="Calibri"/>
      <family val="2"/>
    </font>
    <font>
      <sz val="11"/>
      <name val="Calibri"/>
      <family val="2"/>
    </font>
    <font>
      <vertAlign val="subscript"/>
      <sz val="11"/>
      <name val="Calibri"/>
      <family val="2"/>
    </font>
    <font>
      <i/>
      <sz val="8"/>
      <name val="Arial CE"/>
    </font>
    <font>
      <b/>
      <i/>
      <sz val="8"/>
      <name val="Arial CE"/>
    </font>
    <font>
      <sz val="8"/>
      <name val="Arial CE"/>
      <charset val="238"/>
    </font>
    <font>
      <b/>
      <sz val="8"/>
      <name val="Arial CE"/>
      <charset val="238"/>
    </font>
    <font>
      <b/>
      <sz val="8"/>
      <name val="Arial CE"/>
    </font>
    <font>
      <sz val="8"/>
      <name val="Arial CE"/>
    </font>
    <font>
      <i/>
      <sz val="11"/>
      <name val="Calibri"/>
      <family val="2"/>
      <scheme val="minor"/>
    </font>
    <font>
      <i/>
      <sz val="11"/>
      <color theme="1"/>
      <name val="Calibri"/>
      <family val="2"/>
      <scheme val="minor"/>
    </font>
    <font>
      <vertAlign val="subscript"/>
      <sz val="11"/>
      <color theme="1"/>
      <name val="Calibri"/>
      <family val="2"/>
      <scheme val="minor"/>
    </font>
    <font>
      <vertAlign val="subscript"/>
      <sz val="11"/>
      <name val="Calibri"/>
      <family val="2"/>
      <scheme val="minor"/>
    </font>
    <font>
      <sz val="9"/>
      <name val="Calibri"/>
      <family val="2"/>
      <scheme val="minor"/>
    </font>
    <font>
      <vertAlign val="subscript"/>
      <sz val="9"/>
      <name val="Calibri"/>
      <family val="2"/>
      <scheme val="minor"/>
    </font>
    <font>
      <sz val="11"/>
      <color theme="1"/>
      <name val="Calibri"/>
      <family val="2"/>
      <scheme val="minor"/>
    </font>
    <font>
      <i/>
      <sz val="8"/>
      <name val="Calibri"/>
      <family val="2"/>
      <scheme val="minor"/>
    </font>
    <font>
      <b/>
      <sz val="10"/>
      <color rgb="FF000000"/>
      <name val="Arial CE"/>
    </font>
    <font>
      <b/>
      <sz val="13"/>
      <name val="Arial"/>
      <family val="2"/>
    </font>
    <font>
      <sz val="10"/>
      <name val="Arial"/>
      <family val="2"/>
    </font>
    <font>
      <b/>
      <sz val="9"/>
      <color indexed="81"/>
      <name val="Tahoma"/>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CC"/>
        <bgColor indexed="64"/>
      </patternFill>
    </fill>
    <fill>
      <patternFill patternType="solid">
        <fgColor rgb="FFC0C0C0"/>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CCFF33"/>
        <bgColor indexed="64"/>
      </patternFill>
    </fill>
  </fills>
  <borders count="55">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medium">
        <color indexed="64"/>
      </bottom>
      <diagonal/>
    </border>
    <border>
      <left style="dotted">
        <color indexed="64"/>
      </left>
      <right/>
      <top/>
      <bottom/>
      <diagonal/>
    </border>
    <border>
      <left/>
      <right style="dotted">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style="dotted">
        <color indexed="64"/>
      </top>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6" fillId="0" borderId="0" applyNumberFormat="0" applyFill="0" applyBorder="0" applyAlignment="0" applyProtection="0">
      <alignment vertical="top"/>
      <protection locked="0"/>
    </xf>
    <xf numFmtId="0" fontId="8" fillId="0" borderId="0"/>
    <xf numFmtId="9" fontId="32" fillId="0" borderId="0" applyFont="0" applyFill="0" applyBorder="0" applyAlignment="0" applyProtection="0"/>
  </cellStyleXfs>
  <cellXfs count="313">
    <xf numFmtId="0" fontId="0" fillId="0" borderId="0" xfId="0"/>
    <xf numFmtId="0" fontId="0" fillId="2" borderId="0" xfId="0" applyFill="1" applyProtection="1">
      <protection locked="0"/>
    </xf>
    <xf numFmtId="0" fontId="0" fillId="2" borderId="0" xfId="0" applyFill="1"/>
    <xf numFmtId="49" fontId="0" fillId="2" borderId="0" xfId="0" applyNumberFormat="1" applyFill="1"/>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15" xfId="0" applyFont="1" applyFill="1" applyBorder="1" applyAlignment="1">
      <alignment vertical="center" wrapText="1"/>
    </xf>
    <xf numFmtId="0" fontId="5" fillId="0" borderId="1" xfId="0" applyFont="1" applyFill="1" applyBorder="1" applyAlignment="1">
      <alignment vertical="center" wrapText="1"/>
    </xf>
    <xf numFmtId="0" fontId="5" fillId="0" borderId="4" xfId="0" applyFont="1" applyFill="1" applyBorder="1" applyAlignment="1">
      <alignment vertical="center" wrapText="1"/>
    </xf>
    <xf numFmtId="0" fontId="5" fillId="0" borderId="19" xfId="0" applyFont="1" applyFill="1" applyBorder="1" applyAlignment="1">
      <alignment vertical="center"/>
    </xf>
    <xf numFmtId="0" fontId="5" fillId="0" borderId="3" xfId="0" applyFont="1" applyFill="1" applyBorder="1" applyAlignment="1">
      <alignment vertical="center"/>
    </xf>
    <xf numFmtId="0" fontId="5" fillId="0" borderId="15" xfId="0" applyFont="1" applyFill="1" applyBorder="1" applyAlignment="1">
      <alignment vertical="center"/>
    </xf>
    <xf numFmtId="0" fontId="5" fillId="0" borderId="4" xfId="0" applyFont="1" applyFill="1" applyBorder="1" applyAlignment="1">
      <alignment vertical="center"/>
    </xf>
    <xf numFmtId="0" fontId="0" fillId="2" borderId="0" xfId="0" applyFill="1" applyAlignment="1">
      <alignment wrapText="1"/>
    </xf>
    <xf numFmtId="0" fontId="8" fillId="0" borderId="17" xfId="0" applyFont="1" applyFill="1" applyBorder="1" applyAlignment="1" applyProtection="1">
      <alignment vertical="center"/>
    </xf>
    <xf numFmtId="0" fontId="9" fillId="0" borderId="18" xfId="0" applyFont="1" applyFill="1" applyBorder="1" applyAlignment="1" applyProtection="1">
      <alignment vertical="center" wrapText="1"/>
    </xf>
    <xf numFmtId="0" fontId="8" fillId="0" borderId="2" xfId="0" applyFont="1" applyFill="1" applyBorder="1" applyAlignment="1" applyProtection="1">
      <alignment vertical="center"/>
    </xf>
    <xf numFmtId="0" fontId="9" fillId="0" borderId="0" xfId="0" applyFont="1" applyFill="1" applyBorder="1" applyAlignment="1" applyProtection="1">
      <alignment vertical="center" wrapText="1"/>
    </xf>
    <xf numFmtId="0" fontId="0" fillId="0" borderId="0" xfId="0" applyFill="1" applyBorder="1" applyAlignment="1" applyProtection="1"/>
    <xf numFmtId="0" fontId="14" fillId="0" borderId="2" xfId="0" applyFont="1" applyFill="1" applyBorder="1" applyAlignment="1" applyProtection="1">
      <alignment vertical="center"/>
      <protection hidden="1"/>
    </xf>
    <xf numFmtId="0" fontId="8" fillId="0" borderId="2" xfId="0" applyFont="1" applyFill="1" applyBorder="1" applyProtection="1">
      <protection hidden="1"/>
    </xf>
    <xf numFmtId="0" fontId="15" fillId="0" borderId="0" xfId="1" applyFont="1" applyFill="1" applyBorder="1" applyAlignment="1" applyProtection="1">
      <protection hidden="1"/>
    </xf>
    <xf numFmtId="0" fontId="3" fillId="0" borderId="0" xfId="0" applyFont="1" applyFill="1" applyBorder="1" applyProtection="1">
      <protection hidden="1"/>
    </xf>
    <xf numFmtId="2" fontId="3" fillId="0" borderId="0" xfId="0" applyNumberFormat="1" applyFont="1" applyFill="1" applyBorder="1" applyProtection="1">
      <protection hidden="1"/>
    </xf>
    <xf numFmtId="2" fontId="8" fillId="0" borderId="9" xfId="0" applyNumberFormat="1" applyFont="1" applyFill="1" applyBorder="1" applyProtection="1">
      <protection hidden="1"/>
    </xf>
    <xf numFmtId="0" fontId="3" fillId="0" borderId="0" xfId="0" applyFont="1" applyFill="1" applyBorder="1" applyAlignment="1" applyProtection="1">
      <alignment vertical="center"/>
      <protection hidden="1"/>
    </xf>
    <xf numFmtId="0" fontId="3" fillId="4" borderId="2" xfId="0" applyFont="1" applyFill="1" applyBorder="1" applyAlignment="1" applyProtection="1">
      <alignment vertical="center"/>
      <protection hidden="1"/>
    </xf>
    <xf numFmtId="0" fontId="3" fillId="4" borderId="0" xfId="0" applyFont="1" applyFill="1" applyBorder="1" applyAlignment="1" applyProtection="1">
      <alignment vertical="center"/>
      <protection hidden="1"/>
    </xf>
    <xf numFmtId="1" fontId="3" fillId="4" borderId="0" xfId="0" applyNumberFormat="1" applyFont="1" applyFill="1" applyBorder="1" applyAlignment="1" applyProtection="1">
      <alignment vertical="center"/>
      <protection hidden="1"/>
    </xf>
    <xf numFmtId="2" fontId="8" fillId="0" borderId="9" xfId="0" applyNumberFormat="1" applyFont="1" applyFill="1" applyBorder="1" applyAlignment="1" applyProtection="1">
      <alignment horizontal="left"/>
      <protection hidden="1"/>
    </xf>
    <xf numFmtId="0" fontId="3" fillId="4" borderId="15" xfId="0" applyFont="1" applyFill="1" applyBorder="1" applyAlignment="1" applyProtection="1">
      <alignment vertical="center"/>
      <protection hidden="1"/>
    </xf>
    <xf numFmtId="0" fontId="3" fillId="4" borderId="1" xfId="0" applyFont="1" applyFill="1" applyBorder="1" applyAlignment="1" applyProtection="1">
      <alignment vertical="center"/>
      <protection hidden="1"/>
    </xf>
    <xf numFmtId="1" fontId="3" fillId="4" borderId="1" xfId="0" applyNumberFormat="1" applyFont="1" applyFill="1" applyBorder="1" applyAlignment="1" applyProtection="1">
      <alignment vertical="center"/>
      <protection hidden="1"/>
    </xf>
    <xf numFmtId="0" fontId="3" fillId="0" borderId="0" xfId="0" applyFont="1" applyFill="1" applyAlignment="1" applyProtection="1">
      <alignment vertical="center"/>
      <protection hidden="1"/>
    </xf>
    <xf numFmtId="2" fontId="3" fillId="0" borderId="0" xfId="0" applyNumberFormat="1" applyFont="1" applyFill="1" applyBorder="1" applyAlignment="1" applyProtection="1">
      <alignment vertical="center"/>
      <protection hidden="1"/>
    </xf>
    <xf numFmtId="0" fontId="8" fillId="0" borderId="30" xfId="0" applyFont="1" applyFill="1" applyBorder="1" applyProtection="1">
      <protection hidden="1"/>
    </xf>
    <xf numFmtId="0" fontId="20" fillId="0" borderId="11" xfId="0" applyFont="1" applyFill="1" applyBorder="1" applyAlignment="1" applyProtection="1"/>
    <xf numFmtId="0" fontId="20" fillId="0" borderId="11" xfId="0" applyFont="1" applyFill="1" applyBorder="1" applyAlignment="1" applyProtection="1">
      <protection hidden="1"/>
    </xf>
    <xf numFmtId="0" fontId="8" fillId="0" borderId="11" xfId="0" applyFont="1" applyFill="1" applyBorder="1" applyProtection="1">
      <protection hidden="1"/>
    </xf>
    <xf numFmtId="2" fontId="8" fillId="0" borderId="11" xfId="0" applyNumberFormat="1" applyFont="1" applyFill="1" applyBorder="1" applyProtection="1">
      <protection hidden="1"/>
    </xf>
    <xf numFmtId="2" fontId="22" fillId="0" borderId="11" xfId="0" applyNumberFormat="1" applyFont="1" applyFill="1" applyBorder="1" applyAlignment="1" applyProtection="1">
      <alignment horizontal="right"/>
    </xf>
    <xf numFmtId="2" fontId="8" fillId="0" borderId="12" xfId="0" applyNumberFormat="1" applyFont="1" applyFill="1" applyBorder="1" applyProtection="1">
      <protection hidden="1"/>
    </xf>
    <xf numFmtId="0" fontId="8" fillId="5" borderId="0" xfId="0" applyFont="1" applyFill="1" applyProtection="1">
      <protection hidden="1"/>
    </xf>
    <xf numFmtId="0" fontId="0" fillId="5" borderId="0" xfId="0" applyFill="1"/>
    <xf numFmtId="0" fontId="3" fillId="5" borderId="0" xfId="0" applyFont="1" applyFill="1" applyBorder="1" applyAlignment="1" applyProtection="1">
      <alignment horizontal="center"/>
    </xf>
    <xf numFmtId="0" fontId="0" fillId="5" borderId="0" xfId="0" applyFill="1" applyAlignment="1">
      <alignment vertical="top" wrapText="1"/>
    </xf>
    <xf numFmtId="0" fontId="0" fillId="5" borderId="0" xfId="0" applyFill="1" applyAlignment="1">
      <alignment horizontal="center"/>
    </xf>
    <xf numFmtId="0" fontId="1" fillId="5" borderId="0" xfId="0" applyFont="1" applyFill="1"/>
    <xf numFmtId="0" fontId="0" fillId="5" borderId="0" xfId="0" applyFill="1" applyAlignment="1">
      <alignment wrapText="1"/>
    </xf>
    <xf numFmtId="0" fontId="0" fillId="5" borderId="0" xfId="0" applyFill="1" applyBorder="1" applyAlignment="1">
      <alignment wrapText="1"/>
    </xf>
    <xf numFmtId="0" fontId="3" fillId="0" borderId="0" xfId="0" applyFont="1" applyFill="1" applyAlignment="1" applyProtection="1">
      <alignment horizontal="left" vertical="center"/>
      <protection hidden="1"/>
    </xf>
    <xf numFmtId="0" fontId="0" fillId="5" borderId="0" xfId="0" applyFill="1" applyAlignment="1">
      <alignment vertical="center"/>
    </xf>
    <xf numFmtId="0" fontId="3" fillId="5" borderId="0" xfId="0" applyFont="1" applyFill="1" applyBorder="1" applyAlignment="1" applyProtection="1">
      <alignment horizontal="center" vertical="center"/>
    </xf>
    <xf numFmtId="0" fontId="0" fillId="5" borderId="0" xfId="0" applyFill="1" applyAlignment="1">
      <alignment vertical="center" wrapText="1"/>
    </xf>
    <xf numFmtId="0" fontId="0" fillId="5" borderId="0" xfId="0" applyFill="1" applyBorder="1" applyAlignment="1">
      <alignment vertical="center"/>
    </xf>
    <xf numFmtId="0" fontId="0" fillId="5" borderId="0" xfId="0" applyFill="1" applyAlignment="1">
      <alignment horizontal="center" vertical="center"/>
    </xf>
    <xf numFmtId="0" fontId="1" fillId="5" borderId="0" xfId="0" applyFont="1" applyFill="1" applyAlignment="1">
      <alignment vertical="center" wrapText="1"/>
    </xf>
    <xf numFmtId="0" fontId="1" fillId="5" borderId="0" xfId="0" applyFont="1" applyFill="1" applyAlignment="1">
      <alignment vertical="center"/>
    </xf>
    <xf numFmtId="0" fontId="0" fillId="5" borderId="0" xfId="0" applyFont="1" applyFill="1" applyAlignment="1">
      <alignment vertical="center"/>
    </xf>
    <xf numFmtId="165" fontId="0" fillId="5" borderId="0" xfId="0" applyNumberFormat="1" applyFill="1" applyAlignment="1">
      <alignment vertical="center"/>
    </xf>
    <xf numFmtId="2" fontId="0" fillId="5" borderId="0" xfId="0" applyNumberFormat="1" applyFill="1" applyAlignment="1">
      <alignment vertical="center"/>
    </xf>
    <xf numFmtId="0" fontId="0" fillId="5" borderId="1" xfId="0" applyFill="1" applyBorder="1" applyAlignment="1">
      <alignment vertical="center"/>
    </xf>
    <xf numFmtId="166" fontId="0" fillId="5" borderId="0" xfId="0" applyNumberFormat="1" applyFill="1" applyAlignment="1">
      <alignment vertical="center"/>
    </xf>
    <xf numFmtId="166" fontId="0" fillId="5" borderId="0" xfId="0" applyNumberFormat="1" applyFill="1" applyAlignment="1">
      <alignment horizontal="right" vertical="center"/>
    </xf>
    <xf numFmtId="166" fontId="0" fillId="5" borderId="1" xfId="0" applyNumberFormat="1" applyFill="1" applyBorder="1" applyAlignment="1">
      <alignment vertical="center"/>
    </xf>
    <xf numFmtId="166" fontId="0" fillId="5" borderId="1" xfId="0" applyNumberFormat="1" applyFill="1" applyBorder="1" applyAlignment="1">
      <alignment horizontal="right" vertical="center"/>
    </xf>
    <xf numFmtId="0" fontId="33" fillId="4" borderId="4" xfId="0" applyFont="1" applyFill="1" applyBorder="1" applyAlignment="1" applyProtection="1">
      <alignment horizontal="right" vertical="center"/>
      <protection hidden="1"/>
    </xf>
    <xf numFmtId="0" fontId="13" fillId="4" borderId="0" xfId="0" applyFont="1" applyFill="1" applyBorder="1" applyAlignment="1" applyProtection="1">
      <alignment vertical="center"/>
      <protection hidden="1"/>
    </xf>
    <xf numFmtId="0" fontId="13" fillId="4" borderId="3" xfId="0" applyFont="1" applyFill="1" applyBorder="1" applyAlignment="1" applyProtection="1">
      <alignment vertical="center"/>
      <protection hidden="1"/>
    </xf>
    <xf numFmtId="0" fontId="13" fillId="4" borderId="1" xfId="0" applyFont="1" applyFill="1" applyBorder="1" applyAlignment="1" applyProtection="1">
      <alignment vertical="center"/>
      <protection hidden="1"/>
    </xf>
    <xf numFmtId="0" fontId="0" fillId="5" borderId="0" xfId="0" applyFill="1" applyAlignment="1"/>
    <xf numFmtId="0" fontId="0" fillId="5" borderId="1" xfId="0" applyFill="1" applyBorder="1" applyAlignment="1"/>
    <xf numFmtId="0" fontId="0" fillId="7" borderId="52" xfId="0" applyFill="1" applyBorder="1" applyAlignment="1">
      <alignment horizontal="left" vertical="center" indent="1"/>
    </xf>
    <xf numFmtId="0" fontId="0" fillId="7" borderId="53" xfId="0" applyFill="1" applyBorder="1" applyAlignment="1">
      <alignment horizontal="left" vertical="center" indent="1"/>
    </xf>
    <xf numFmtId="1" fontId="0" fillId="5" borderId="0" xfId="0" applyNumberFormat="1" applyFill="1" applyAlignment="1">
      <alignment horizontal="left" vertical="center"/>
    </xf>
    <xf numFmtId="165" fontId="0" fillId="5" borderId="0" xfId="0" applyNumberFormat="1" applyFill="1" applyAlignment="1">
      <alignment horizontal="right" vertical="center"/>
    </xf>
    <xf numFmtId="165" fontId="0" fillId="5" borderId="0" xfId="0" applyNumberFormat="1" applyFill="1" applyAlignment="1">
      <alignment horizontal="right"/>
    </xf>
    <xf numFmtId="0" fontId="0" fillId="3" borderId="0" xfId="0" applyFill="1"/>
    <xf numFmtId="0" fontId="0" fillId="3" borderId="0" xfId="0" applyFill="1" applyAlignment="1">
      <alignment horizontal="right"/>
    </xf>
    <xf numFmtId="0" fontId="8" fillId="2" borderId="0" xfId="2" applyFill="1"/>
    <xf numFmtId="0" fontId="5" fillId="0" borderId="17" xfId="2" applyFont="1" applyFill="1" applyBorder="1" applyAlignment="1">
      <alignment vertical="center" wrapText="1"/>
    </xf>
    <xf numFmtId="0" fontId="5" fillId="0" borderId="18" xfId="2" applyFont="1" applyFill="1" applyBorder="1" applyAlignment="1">
      <alignment vertical="center" wrapText="1"/>
    </xf>
    <xf numFmtId="0" fontId="5" fillId="0" borderId="19" xfId="2" applyFont="1" applyFill="1" applyBorder="1" applyAlignment="1">
      <alignment vertical="center" wrapText="1"/>
    </xf>
    <xf numFmtId="0" fontId="5" fillId="0" borderId="2" xfId="2" applyFont="1" applyFill="1" applyBorder="1" applyAlignment="1">
      <alignment vertical="center" wrapText="1"/>
    </xf>
    <xf numFmtId="0" fontId="5" fillId="0" borderId="3" xfId="2" applyFont="1" applyFill="1" applyBorder="1" applyAlignment="1">
      <alignment vertical="center" wrapText="1"/>
    </xf>
    <xf numFmtId="0" fontId="5" fillId="0" borderId="15" xfId="2" applyFont="1" applyFill="1" applyBorder="1" applyAlignment="1">
      <alignment vertical="center" wrapText="1"/>
    </xf>
    <xf numFmtId="0" fontId="5" fillId="0" borderId="1" xfId="2" applyFont="1" applyFill="1" applyBorder="1" applyAlignment="1">
      <alignment vertical="center" wrapText="1"/>
    </xf>
    <xf numFmtId="0" fontId="5" fillId="0" borderId="4" xfId="2" applyFont="1" applyFill="1" applyBorder="1" applyAlignment="1">
      <alignment vertical="center" wrapText="1"/>
    </xf>
    <xf numFmtId="0" fontId="8" fillId="2" borderId="0" xfId="2" applyFill="1" applyAlignment="1" applyProtection="1">
      <alignment horizontal="center"/>
      <protection locked="0"/>
    </xf>
    <xf numFmtId="0" fontId="8" fillId="2" borderId="0" xfId="2" applyFill="1" applyAlignment="1">
      <alignment horizontal="left"/>
    </xf>
    <xf numFmtId="0" fontId="8" fillId="0" borderId="0" xfId="2"/>
    <xf numFmtId="0" fontId="0" fillId="0" borderId="0" xfId="0" applyFill="1" applyProtection="1">
      <protection hidden="1"/>
    </xf>
    <xf numFmtId="0" fontId="0" fillId="0" borderId="5" xfId="0" applyFill="1" applyBorder="1" applyProtection="1">
      <protection hidden="1"/>
    </xf>
    <xf numFmtId="0" fontId="0" fillId="0" borderId="7" xfId="0" applyFill="1" applyBorder="1" applyProtection="1">
      <protection hidden="1"/>
    </xf>
    <xf numFmtId="0" fontId="1" fillId="0" borderId="0" xfId="0" applyFont="1" applyFill="1" applyProtection="1">
      <protection hidden="1"/>
    </xf>
    <xf numFmtId="0" fontId="0" fillId="0" borderId="8" xfId="0" applyFill="1" applyBorder="1" applyProtection="1">
      <protection hidden="1"/>
    </xf>
    <xf numFmtId="0" fontId="0" fillId="0" borderId="9" xfId="0" applyFill="1" applyBorder="1" applyProtection="1">
      <protection hidden="1"/>
    </xf>
    <xf numFmtId="0" fontId="0" fillId="0" borderId="10" xfId="0" applyFill="1" applyBorder="1" applyProtection="1">
      <protection hidden="1"/>
    </xf>
    <xf numFmtId="0" fontId="0" fillId="0" borderId="12" xfId="0" applyFill="1" applyBorder="1" applyProtection="1">
      <protection hidden="1"/>
    </xf>
    <xf numFmtId="0" fontId="0" fillId="0" borderId="6" xfId="0" applyFill="1" applyBorder="1" applyProtection="1">
      <protection hidden="1"/>
    </xf>
    <xf numFmtId="0" fontId="1" fillId="0" borderId="8" xfId="0" applyFont="1" applyFill="1" applyBorder="1" applyProtection="1">
      <protection hidden="1"/>
    </xf>
    <xf numFmtId="0" fontId="1" fillId="0" borderId="0" xfId="0" applyFont="1" applyFill="1" applyBorder="1" applyAlignment="1" applyProtection="1">
      <alignment horizontal="center"/>
      <protection hidden="1"/>
    </xf>
    <xf numFmtId="0" fontId="1" fillId="0" borderId="9" xfId="0" applyFont="1" applyFill="1" applyBorder="1" applyAlignment="1" applyProtection="1">
      <alignment horizontal="center"/>
      <protection hidden="1"/>
    </xf>
    <xf numFmtId="0" fontId="0" fillId="0" borderId="0" xfId="0" applyFill="1" applyBorder="1" applyProtection="1">
      <protection hidden="1"/>
    </xf>
    <xf numFmtId="0" fontId="0" fillId="0" borderId="11" xfId="0" applyFill="1" applyBorder="1" applyProtection="1">
      <protection hidden="1"/>
    </xf>
    <xf numFmtId="0" fontId="2" fillId="0" borderId="4" xfId="0" applyFont="1" applyFill="1" applyBorder="1" applyAlignment="1" applyProtection="1">
      <alignment horizontal="center"/>
      <protection hidden="1"/>
    </xf>
    <xf numFmtId="0" fontId="0" fillId="0" borderId="1" xfId="0" applyFill="1" applyBorder="1" applyAlignment="1" applyProtection="1">
      <alignment horizontal="center"/>
      <protection hidden="1"/>
    </xf>
    <xf numFmtId="0" fontId="0" fillId="0" borderId="13" xfId="0" applyFill="1" applyBorder="1" applyAlignment="1" applyProtection="1">
      <alignment horizontal="center"/>
      <protection hidden="1"/>
    </xf>
    <xf numFmtId="0" fontId="0" fillId="0" borderId="3" xfId="0" applyFill="1" applyBorder="1" applyProtection="1">
      <protection hidden="1"/>
    </xf>
    <xf numFmtId="0" fontId="1" fillId="0" borderId="8" xfId="0" applyFont="1" applyFill="1" applyBorder="1" applyAlignment="1" applyProtection="1">
      <alignment horizontal="center"/>
      <protection hidden="1"/>
    </xf>
    <xf numFmtId="0" fontId="0" fillId="0" borderId="4" xfId="0" applyFill="1" applyBorder="1" applyProtection="1">
      <protection hidden="1"/>
    </xf>
    <xf numFmtId="0" fontId="0" fillId="0" borderId="1" xfId="0" applyFill="1" applyBorder="1" applyProtection="1">
      <protection hidden="1"/>
    </xf>
    <xf numFmtId="0" fontId="0" fillId="0" borderId="1" xfId="0" applyFill="1" applyBorder="1" applyAlignment="1" applyProtection="1">
      <alignment wrapText="1"/>
      <protection hidden="1"/>
    </xf>
    <xf numFmtId="0" fontId="0" fillId="0" borderId="13" xfId="0" applyFill="1" applyBorder="1" applyProtection="1">
      <protection hidden="1"/>
    </xf>
    <xf numFmtId="0" fontId="0" fillId="0" borderId="14" xfId="0" applyFill="1" applyBorder="1" applyProtection="1">
      <protection hidden="1"/>
    </xf>
    <xf numFmtId="0" fontId="0" fillId="0" borderId="8" xfId="0"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9" xfId="0" applyFill="1" applyBorder="1" applyAlignment="1" applyProtection="1">
      <alignment horizontal="center"/>
      <protection hidden="1"/>
    </xf>
    <xf numFmtId="0" fontId="2" fillId="0" borderId="5" xfId="0" applyFont="1" applyFill="1" applyBorder="1" applyProtection="1">
      <protection hidden="1"/>
    </xf>
    <xf numFmtId="0" fontId="0" fillId="0" borderId="15" xfId="0" applyFill="1" applyBorder="1" applyProtection="1">
      <protection hidden="1"/>
    </xf>
    <xf numFmtId="0" fontId="0" fillId="0" borderId="3" xfId="0" applyFill="1" applyBorder="1" applyAlignment="1" applyProtection="1">
      <alignment horizontal="right"/>
      <protection hidden="1"/>
    </xf>
    <xf numFmtId="0" fontId="0" fillId="0" borderId="14" xfId="0" applyFill="1" applyBorder="1" applyAlignment="1" applyProtection="1">
      <alignment horizontal="right"/>
      <protection hidden="1"/>
    </xf>
    <xf numFmtId="0" fontId="0" fillId="0" borderId="16" xfId="0" applyFill="1" applyBorder="1" applyProtection="1">
      <protection hidden="1"/>
    </xf>
    <xf numFmtId="0" fontId="16" fillId="4" borderId="2" xfId="0" applyFont="1" applyFill="1" applyBorder="1" applyAlignment="1" applyProtection="1">
      <alignment horizontal="left" vertical="center" indent="1"/>
      <protection locked="0"/>
    </xf>
    <xf numFmtId="0" fontId="16" fillId="4" borderId="0" xfId="0" applyFont="1" applyFill="1" applyBorder="1" applyAlignment="1" applyProtection="1">
      <alignment horizontal="left" vertical="center" indent="1"/>
      <protection locked="0"/>
    </xf>
    <xf numFmtId="0" fontId="16" fillId="4" borderId="3" xfId="0" applyFont="1" applyFill="1" applyBorder="1" applyAlignment="1" applyProtection="1">
      <alignment horizontal="left" vertical="center" indent="1"/>
      <protection locked="0"/>
    </xf>
    <xf numFmtId="0" fontId="16" fillId="4" borderId="15" xfId="0" applyFont="1" applyFill="1" applyBorder="1" applyAlignment="1" applyProtection="1">
      <alignment horizontal="left" vertical="center" indent="1"/>
      <protection locked="0"/>
    </xf>
    <xf numFmtId="0" fontId="16" fillId="4" borderId="1" xfId="0" applyFont="1" applyFill="1" applyBorder="1" applyAlignment="1" applyProtection="1">
      <alignment horizontal="left" vertical="center" indent="1"/>
      <protection locked="0"/>
    </xf>
    <xf numFmtId="0" fontId="16" fillId="4" borderId="4" xfId="0" applyFont="1" applyFill="1" applyBorder="1" applyAlignment="1" applyProtection="1">
      <alignment horizontal="left" vertical="center" indent="1"/>
      <protection locked="0"/>
    </xf>
    <xf numFmtId="0" fontId="13" fillId="4" borderId="24" xfId="0" applyFont="1" applyFill="1" applyBorder="1" applyAlignment="1" applyProtection="1">
      <alignment horizontal="center" vertical="center" shrinkToFit="1"/>
      <protection hidden="1"/>
    </xf>
    <xf numFmtId="0" fontId="13" fillId="4" borderId="25" xfId="0" applyFont="1" applyFill="1" applyBorder="1" applyAlignment="1" applyProtection="1">
      <alignment horizontal="center" vertical="center" shrinkToFit="1"/>
      <protection hidden="1"/>
    </xf>
    <xf numFmtId="0" fontId="3" fillId="4" borderId="21" xfId="0" applyFont="1" applyFill="1" applyBorder="1" applyAlignment="1" applyProtection="1">
      <alignment horizontal="right" vertical="center" shrinkToFit="1"/>
    </xf>
    <xf numFmtId="0" fontId="3" fillId="4" borderId="24" xfId="0" applyFont="1" applyFill="1" applyBorder="1" applyAlignment="1" applyProtection="1">
      <alignment horizontal="right" vertical="center" shrinkToFit="1"/>
    </xf>
    <xf numFmtId="0" fontId="3" fillId="4" borderId="2" xfId="0" applyFont="1" applyFill="1" applyBorder="1" applyAlignment="1" applyProtection="1">
      <alignment horizontal="right" vertical="center"/>
    </xf>
    <xf numFmtId="0" fontId="3" fillId="4" borderId="0" xfId="0" applyFont="1" applyFill="1" applyBorder="1" applyAlignment="1" applyProtection="1">
      <alignment horizontal="right" vertical="center"/>
    </xf>
    <xf numFmtId="0" fontId="3" fillId="4" borderId="15" xfId="0" applyFont="1" applyFill="1" applyBorder="1" applyAlignment="1" applyProtection="1">
      <alignment horizontal="right" vertical="center"/>
    </xf>
    <xf numFmtId="0" fontId="3" fillId="4" borderId="1" xfId="0" applyFont="1" applyFill="1" applyBorder="1" applyAlignment="1" applyProtection="1">
      <alignment horizontal="right" vertical="center"/>
    </xf>
    <xf numFmtId="2" fontId="0" fillId="4" borderId="0" xfId="0" applyNumberFormat="1" applyFill="1" applyBorder="1" applyAlignment="1" applyProtection="1">
      <alignment horizontal="center" vertical="center"/>
      <protection hidden="1"/>
    </xf>
    <xf numFmtId="2" fontId="0" fillId="4" borderId="3" xfId="0" applyNumberFormat="1" applyFill="1" applyBorder="1" applyAlignment="1" applyProtection="1">
      <alignment horizontal="center" vertical="center"/>
      <protection hidden="1"/>
    </xf>
    <xf numFmtId="2" fontId="0" fillId="4" borderId="1" xfId="0" applyNumberFormat="1" applyFill="1" applyBorder="1" applyAlignment="1" applyProtection="1">
      <alignment horizontal="center" vertical="center"/>
      <protection hidden="1"/>
    </xf>
    <xf numFmtId="2" fontId="0" fillId="4" borderId="4" xfId="0" applyNumberFormat="1" applyFill="1" applyBorder="1" applyAlignment="1" applyProtection="1">
      <alignment horizontal="center" vertical="center"/>
      <protection hidden="1"/>
    </xf>
    <xf numFmtId="165" fontId="0" fillId="4" borderId="0" xfId="0" applyNumberFormat="1" applyFill="1" applyAlignment="1" applyProtection="1">
      <alignment horizontal="center" vertical="center"/>
      <protection hidden="1"/>
    </xf>
    <xf numFmtId="165" fontId="0" fillId="4" borderId="3" xfId="0" applyNumberFormat="1" applyFill="1" applyBorder="1" applyAlignment="1" applyProtection="1">
      <alignment horizontal="center" vertical="center"/>
      <protection hidden="1"/>
    </xf>
    <xf numFmtId="0" fontId="13" fillId="4" borderId="21" xfId="0" applyFont="1" applyFill="1" applyBorder="1" applyAlignment="1" applyProtection="1">
      <alignment horizontal="center" vertic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4" borderId="2" xfId="0" applyFont="1" applyFill="1" applyBorder="1" applyAlignment="1" applyProtection="1">
      <alignment horizontal="right" vertical="center" shrinkToFit="1"/>
    </xf>
    <xf numFmtId="0" fontId="3" fillId="4" borderId="0" xfId="0" applyFont="1" applyFill="1" applyBorder="1" applyAlignment="1" applyProtection="1">
      <alignment horizontal="right" vertical="center" shrinkToFit="1"/>
    </xf>
    <xf numFmtId="2" fontId="0" fillId="4" borderId="0" xfId="0" applyNumberFormat="1" applyFill="1" applyAlignment="1" applyProtection="1">
      <alignment horizontal="center" vertical="center"/>
      <protection hidden="1"/>
    </xf>
    <xf numFmtId="0" fontId="3" fillId="4" borderId="17" xfId="0" applyFont="1" applyFill="1" applyBorder="1" applyAlignment="1" applyProtection="1">
      <alignment horizontal="right" vertical="center" shrinkToFit="1"/>
    </xf>
    <xf numFmtId="0" fontId="3" fillId="4" borderId="18" xfId="0" applyFont="1" applyFill="1" applyBorder="1" applyAlignment="1" applyProtection="1">
      <alignment horizontal="right" vertical="center" shrinkToFit="1"/>
    </xf>
    <xf numFmtId="9" fontId="16" fillId="4" borderId="0" xfId="3" applyFont="1" applyFill="1" applyAlignment="1" applyProtection="1">
      <alignment horizontal="center" vertical="center"/>
      <protection locked="0"/>
    </xf>
    <xf numFmtId="9" fontId="16" fillId="4" borderId="3" xfId="3" applyFont="1" applyFill="1" applyBorder="1" applyAlignment="1" applyProtection="1">
      <alignment horizontal="center" vertical="center"/>
      <protection locked="0"/>
    </xf>
    <xf numFmtId="165" fontId="0" fillId="4" borderId="0" xfId="0" applyNumberFormat="1" applyFill="1" applyBorder="1" applyAlignment="1" applyProtection="1">
      <alignment horizontal="center" vertical="center"/>
      <protection hidden="1"/>
    </xf>
    <xf numFmtId="0" fontId="3" fillId="4" borderId="49" xfId="0" applyFont="1" applyFill="1" applyBorder="1" applyAlignment="1" applyProtection="1">
      <alignment horizontal="center" vertical="center"/>
      <protection hidden="1"/>
    </xf>
    <xf numFmtId="0" fontId="30" fillId="0" borderId="18" xfId="0" quotePrefix="1" applyFont="1" applyFill="1" applyBorder="1" applyAlignment="1" applyProtection="1">
      <alignment horizontal="left" vertical="top" wrapText="1" indent="1"/>
    </xf>
    <xf numFmtId="0" fontId="30" fillId="0" borderId="0" xfId="0" quotePrefix="1" applyFont="1" applyFill="1" applyAlignment="1" applyProtection="1">
      <alignment horizontal="left" vertical="top" wrapText="1" indent="1"/>
    </xf>
    <xf numFmtId="165" fontId="0" fillId="4" borderId="1" xfId="0" applyNumberFormat="1" applyFill="1" applyBorder="1" applyAlignment="1" applyProtection="1">
      <alignment horizontal="center" vertical="center"/>
      <protection hidden="1"/>
    </xf>
    <xf numFmtId="165" fontId="0" fillId="4" borderId="4" xfId="0" applyNumberFormat="1" applyFill="1" applyBorder="1" applyAlignment="1" applyProtection="1">
      <alignment horizontal="center" vertical="center"/>
      <protection hidden="1"/>
    </xf>
    <xf numFmtId="2" fontId="3" fillId="4" borderId="38" xfId="0" applyNumberFormat="1" applyFont="1" applyFill="1" applyBorder="1" applyAlignment="1" applyProtection="1">
      <alignment horizontal="center" vertical="center"/>
      <protection hidden="1"/>
    </xf>
    <xf numFmtId="2" fontId="3" fillId="4" borderId="40" xfId="0" applyNumberFormat="1" applyFont="1" applyFill="1" applyBorder="1" applyAlignment="1" applyProtection="1">
      <alignment horizontal="center" vertical="center"/>
      <protection hidden="1"/>
    </xf>
    <xf numFmtId="2" fontId="3" fillId="4" borderId="31" xfId="0" applyNumberFormat="1" applyFont="1" applyFill="1" applyBorder="1" applyAlignment="1" applyProtection="1">
      <alignment horizontal="center" vertical="center"/>
      <protection hidden="1"/>
    </xf>
    <xf numFmtId="2" fontId="3" fillId="4" borderId="32" xfId="0" applyNumberFormat="1" applyFont="1" applyFill="1" applyBorder="1" applyAlignment="1" applyProtection="1">
      <alignment horizontal="center" vertical="center"/>
      <protection hidden="1"/>
    </xf>
    <xf numFmtId="0" fontId="0" fillId="5" borderId="0" xfId="0" applyFill="1" applyAlignment="1">
      <alignment horizontal="center" vertical="center" wrapText="1"/>
    </xf>
    <xf numFmtId="2" fontId="3" fillId="4" borderId="26" xfId="0" applyNumberFormat="1" applyFont="1" applyFill="1" applyBorder="1" applyAlignment="1" applyProtection="1">
      <alignment horizontal="center" vertical="center"/>
      <protection hidden="1"/>
    </xf>
    <xf numFmtId="2" fontId="3" fillId="4" borderId="50" xfId="0" applyNumberFormat="1" applyFont="1" applyFill="1" applyBorder="1" applyAlignment="1" applyProtection="1">
      <alignment horizontal="center" vertical="center"/>
      <protection hidden="1"/>
    </xf>
    <xf numFmtId="2" fontId="13" fillId="6" borderId="33" xfId="0" applyNumberFormat="1" applyFont="1" applyFill="1" applyBorder="1" applyAlignment="1" applyProtection="1">
      <alignment horizontal="center" vertical="center"/>
    </xf>
    <xf numFmtId="2" fontId="13" fillId="6" borderId="34" xfId="0" applyNumberFormat="1" applyFont="1" applyFill="1" applyBorder="1" applyAlignment="1" applyProtection="1">
      <alignment horizontal="center" vertical="center"/>
    </xf>
    <xf numFmtId="2" fontId="3" fillId="6" borderId="45" xfId="0" applyNumberFormat="1" applyFont="1" applyFill="1" applyBorder="1" applyAlignment="1" applyProtection="1">
      <alignment horizontal="center" vertical="center"/>
    </xf>
    <xf numFmtId="0" fontId="3" fillId="6" borderId="45" xfId="0" quotePrefix="1" applyFont="1" applyFill="1" applyBorder="1" applyAlignment="1" applyProtection="1">
      <alignment horizontal="center" vertical="center" shrinkToFit="1"/>
    </xf>
    <xf numFmtId="0" fontId="3" fillId="6" borderId="46" xfId="0" quotePrefix="1" applyFont="1" applyFill="1" applyBorder="1" applyAlignment="1" applyProtection="1">
      <alignment horizontal="center" vertical="center" shrinkToFit="1"/>
    </xf>
    <xf numFmtId="0" fontId="3" fillId="6" borderId="44" xfId="0" applyFont="1" applyFill="1" applyBorder="1" applyAlignment="1" applyProtection="1">
      <alignment horizontal="center" vertical="center" shrinkToFit="1"/>
    </xf>
    <xf numFmtId="0" fontId="3" fillId="6" borderId="39" xfId="0" applyFont="1" applyFill="1" applyBorder="1" applyAlignment="1" applyProtection="1">
      <alignment horizontal="center" vertical="center" shrinkToFit="1"/>
    </xf>
    <xf numFmtId="0" fontId="3" fillId="6" borderId="2" xfId="0" applyFont="1" applyFill="1" applyBorder="1" applyAlignment="1" applyProtection="1">
      <alignment horizontal="center" vertical="center" shrinkToFit="1"/>
    </xf>
    <xf numFmtId="0" fontId="3" fillId="6" borderId="0" xfId="0" applyFont="1" applyFill="1" applyBorder="1" applyAlignment="1" applyProtection="1">
      <alignment horizontal="center" vertical="center" shrinkToFit="1"/>
    </xf>
    <xf numFmtId="0" fontId="3" fillId="6" borderId="15" xfId="0" applyFont="1" applyFill="1" applyBorder="1" applyAlignment="1" applyProtection="1">
      <alignment horizontal="center" vertical="center" shrinkToFit="1"/>
    </xf>
    <xf numFmtId="0" fontId="3" fillId="6" borderId="1" xfId="0" applyFont="1" applyFill="1" applyBorder="1" applyAlignment="1" applyProtection="1">
      <alignment horizontal="center" vertical="center" shrinkToFit="1"/>
    </xf>
    <xf numFmtId="0" fontId="3" fillId="4" borderId="47" xfId="0" applyFont="1" applyFill="1" applyBorder="1" applyAlignment="1" applyProtection="1">
      <alignment horizontal="center" vertical="center"/>
      <protection hidden="1"/>
    </xf>
    <xf numFmtId="0" fontId="3" fillId="4" borderId="48" xfId="0" applyFont="1" applyFill="1" applyBorder="1" applyAlignment="1" applyProtection="1">
      <alignment horizontal="center" vertical="center"/>
      <protection hidden="1"/>
    </xf>
    <xf numFmtId="166" fontId="3" fillId="4" borderId="38" xfId="0" applyNumberFormat="1" applyFont="1" applyFill="1" applyBorder="1" applyAlignment="1" applyProtection="1">
      <alignment horizontal="center" vertical="center"/>
      <protection hidden="1"/>
    </xf>
    <xf numFmtId="166" fontId="3" fillId="4" borderId="39" xfId="0" applyNumberFormat="1" applyFont="1" applyFill="1" applyBorder="1" applyAlignment="1" applyProtection="1">
      <alignment horizontal="center" vertical="center"/>
      <protection hidden="1"/>
    </xf>
    <xf numFmtId="166" fontId="3" fillId="4" borderId="40" xfId="0" applyNumberFormat="1" applyFont="1" applyFill="1" applyBorder="1" applyAlignment="1" applyProtection="1">
      <alignment horizontal="center" vertical="center"/>
      <protection hidden="1"/>
    </xf>
    <xf numFmtId="166" fontId="3" fillId="4" borderId="31" xfId="0" applyNumberFormat="1" applyFont="1" applyFill="1" applyBorder="1" applyAlignment="1" applyProtection="1">
      <alignment horizontal="center" vertical="center"/>
      <protection hidden="1"/>
    </xf>
    <xf numFmtId="166" fontId="3" fillId="4" borderId="0" xfId="0" applyNumberFormat="1" applyFont="1" applyFill="1" applyBorder="1" applyAlignment="1" applyProtection="1">
      <alignment horizontal="center" vertical="center"/>
      <protection hidden="1"/>
    </xf>
    <xf numFmtId="166" fontId="3" fillId="4" borderId="32" xfId="0" applyNumberFormat="1" applyFont="1" applyFill="1" applyBorder="1" applyAlignment="1" applyProtection="1">
      <alignment horizontal="center" vertical="center"/>
      <protection hidden="1"/>
    </xf>
    <xf numFmtId="166" fontId="3" fillId="4" borderId="26" xfId="0" applyNumberFormat="1" applyFont="1" applyFill="1" applyBorder="1" applyAlignment="1" applyProtection="1">
      <alignment horizontal="center" vertical="center"/>
      <protection hidden="1"/>
    </xf>
    <xf numFmtId="166" fontId="3" fillId="4" borderId="1" xfId="0" applyNumberFormat="1" applyFont="1" applyFill="1" applyBorder="1" applyAlignment="1" applyProtection="1">
      <alignment horizontal="center" vertical="center"/>
      <protection hidden="1"/>
    </xf>
    <xf numFmtId="166" fontId="3" fillId="4" borderId="50" xfId="0" applyNumberFormat="1" applyFont="1" applyFill="1" applyBorder="1" applyAlignment="1" applyProtection="1">
      <alignment horizontal="center" vertical="center"/>
      <protection hidden="1"/>
    </xf>
    <xf numFmtId="2" fontId="3" fillId="4" borderId="42" xfId="0" applyNumberFormat="1" applyFont="1" applyFill="1" applyBorder="1" applyAlignment="1" applyProtection="1">
      <alignment horizontal="center" vertical="center"/>
      <protection hidden="1"/>
    </xf>
    <xf numFmtId="2" fontId="3" fillId="4" borderId="3" xfId="0" applyNumberFormat="1" applyFont="1" applyFill="1" applyBorder="1" applyAlignment="1" applyProtection="1">
      <alignment horizontal="center" vertical="center"/>
      <protection hidden="1"/>
    </xf>
    <xf numFmtId="2" fontId="3" fillId="4" borderId="4" xfId="0" applyNumberFormat="1" applyFont="1" applyFill="1" applyBorder="1" applyAlignment="1" applyProtection="1">
      <alignment horizontal="center" vertical="center"/>
      <protection hidden="1"/>
    </xf>
    <xf numFmtId="165" fontId="16" fillId="4" borderId="31" xfId="0" applyNumberFormat="1" applyFont="1" applyFill="1" applyBorder="1" applyAlignment="1" applyProtection="1">
      <alignment horizontal="center" vertical="center"/>
      <protection locked="0"/>
    </xf>
    <xf numFmtId="165" fontId="16" fillId="4" borderId="0" xfId="0" applyNumberFormat="1" applyFont="1" applyFill="1" applyBorder="1" applyAlignment="1" applyProtection="1">
      <alignment horizontal="center" vertical="center"/>
      <protection locked="0"/>
    </xf>
    <xf numFmtId="165" fontId="16" fillId="4" borderId="32" xfId="0" applyNumberFormat="1" applyFont="1" applyFill="1" applyBorder="1" applyAlignment="1" applyProtection="1">
      <alignment horizontal="center" vertical="center"/>
      <protection locked="0"/>
    </xf>
    <xf numFmtId="2" fontId="16" fillId="4" borderId="38" xfId="0" applyNumberFormat="1" applyFont="1" applyFill="1" applyBorder="1" applyAlignment="1" applyProtection="1">
      <alignment horizontal="center" vertical="center" wrapText="1"/>
      <protection locked="0"/>
    </xf>
    <xf numFmtId="2" fontId="16" fillId="4" borderId="39" xfId="0" applyNumberFormat="1" applyFont="1" applyFill="1" applyBorder="1" applyAlignment="1" applyProtection="1">
      <alignment horizontal="center" vertical="center" wrapText="1"/>
      <protection locked="0"/>
    </xf>
    <xf numFmtId="2" fontId="16" fillId="4" borderId="40" xfId="0" applyNumberFormat="1" applyFont="1" applyFill="1" applyBorder="1" applyAlignment="1" applyProtection="1">
      <alignment horizontal="center" vertical="center" wrapText="1"/>
      <protection locked="0"/>
    </xf>
    <xf numFmtId="2" fontId="16" fillId="4" borderId="31" xfId="0" applyNumberFormat="1" applyFont="1" applyFill="1" applyBorder="1" applyAlignment="1" applyProtection="1">
      <alignment horizontal="center" vertical="center" wrapText="1"/>
      <protection locked="0"/>
    </xf>
    <xf numFmtId="2" fontId="16" fillId="4" borderId="0" xfId="0" applyNumberFormat="1" applyFont="1" applyFill="1" applyBorder="1" applyAlignment="1" applyProtection="1">
      <alignment horizontal="center" vertical="center" wrapText="1"/>
      <protection locked="0"/>
    </xf>
    <xf numFmtId="2" fontId="16" fillId="4" borderId="32" xfId="0" applyNumberFormat="1" applyFont="1" applyFill="1" applyBorder="1" applyAlignment="1" applyProtection="1">
      <alignment horizontal="center" vertical="center" wrapText="1"/>
      <protection locked="0"/>
    </xf>
    <xf numFmtId="2" fontId="16" fillId="4" borderId="42" xfId="0" applyNumberFormat="1" applyFont="1" applyFill="1" applyBorder="1" applyAlignment="1" applyProtection="1">
      <alignment horizontal="center" vertical="center" wrapText="1"/>
      <protection locked="0"/>
    </xf>
    <xf numFmtId="2" fontId="16" fillId="4" borderId="31" xfId="0" applyNumberFormat="1" applyFont="1" applyFill="1" applyBorder="1" applyAlignment="1" applyProtection="1">
      <alignment horizontal="center" vertical="center"/>
      <protection locked="0"/>
    </xf>
    <xf numFmtId="2" fontId="16" fillId="4" borderId="0" xfId="0" applyNumberFormat="1" applyFont="1" applyFill="1" applyBorder="1" applyAlignment="1" applyProtection="1">
      <alignment horizontal="center" vertical="center"/>
      <protection locked="0"/>
    </xf>
    <xf numFmtId="2" fontId="16" fillId="4" borderId="3" xfId="0" applyNumberFormat="1" applyFont="1" applyFill="1" applyBorder="1" applyAlignment="1" applyProtection="1">
      <alignment horizontal="center" vertical="center"/>
      <protection locked="0"/>
    </xf>
    <xf numFmtId="165" fontId="16" fillId="4" borderId="38" xfId="0" applyNumberFormat="1" applyFont="1" applyFill="1" applyBorder="1" applyAlignment="1" applyProtection="1">
      <alignment horizontal="center" vertical="center" wrapText="1"/>
      <protection locked="0"/>
    </xf>
    <xf numFmtId="165" fontId="16" fillId="4" borderId="39" xfId="0" applyNumberFormat="1" applyFont="1" applyFill="1" applyBorder="1" applyAlignment="1" applyProtection="1">
      <alignment horizontal="center" vertical="center" wrapText="1"/>
      <protection locked="0"/>
    </xf>
    <xf numFmtId="165" fontId="16" fillId="4" borderId="40" xfId="0" applyNumberFormat="1" applyFont="1" applyFill="1" applyBorder="1" applyAlignment="1" applyProtection="1">
      <alignment horizontal="center" vertical="center" wrapText="1"/>
      <protection locked="0"/>
    </xf>
    <xf numFmtId="165" fontId="16" fillId="4" borderId="1" xfId="0" applyNumberFormat="1" applyFont="1" applyFill="1" applyBorder="1" applyAlignment="1" applyProtection="1">
      <alignment horizontal="center" vertical="center"/>
      <protection locked="0"/>
    </xf>
    <xf numFmtId="165" fontId="16" fillId="4" borderId="4" xfId="0" applyNumberFormat="1" applyFont="1" applyFill="1" applyBorder="1" applyAlignment="1" applyProtection="1">
      <alignment horizontal="center" vertical="center"/>
      <protection locked="0"/>
    </xf>
    <xf numFmtId="0" fontId="0" fillId="4" borderId="2" xfId="0" applyFont="1" applyFill="1" applyBorder="1" applyAlignment="1" applyProtection="1">
      <alignment horizontal="right" vertical="center"/>
    </xf>
    <xf numFmtId="0" fontId="0" fillId="4" borderId="0" xfId="0" applyFont="1" applyFill="1" applyBorder="1" applyAlignment="1" applyProtection="1">
      <alignment horizontal="right" vertical="center"/>
    </xf>
    <xf numFmtId="0" fontId="0" fillId="4" borderId="15" xfId="0" applyFont="1" applyFill="1" applyBorder="1" applyAlignment="1" applyProtection="1">
      <alignment horizontal="right" vertical="center"/>
    </xf>
    <xf numFmtId="0" fontId="0" fillId="4" borderId="1" xfId="0" applyFont="1" applyFill="1" applyBorder="1" applyAlignment="1" applyProtection="1">
      <alignment horizontal="right" vertical="center"/>
    </xf>
    <xf numFmtId="2" fontId="16" fillId="4" borderId="28" xfId="0" applyNumberFormat="1" applyFont="1" applyFill="1" applyBorder="1" applyAlignment="1" applyProtection="1">
      <alignment horizontal="center" vertical="center"/>
      <protection locked="0"/>
    </xf>
    <xf numFmtId="2" fontId="16" fillId="4" borderId="29" xfId="0" applyNumberFormat="1" applyFont="1" applyFill="1" applyBorder="1" applyAlignment="1" applyProtection="1">
      <alignment horizontal="center" vertical="center"/>
      <protection locked="0"/>
    </xf>
    <xf numFmtId="2" fontId="3" fillId="4" borderId="27" xfId="0" applyNumberFormat="1" applyFont="1" applyFill="1" applyBorder="1" applyAlignment="1" applyProtection="1">
      <alignment horizontal="right" vertical="center"/>
    </xf>
    <xf numFmtId="2" fontId="3" fillId="4" borderId="28" xfId="0" applyNumberFormat="1" applyFont="1" applyFill="1" applyBorder="1" applyAlignment="1" applyProtection="1">
      <alignment horizontal="right" vertical="center"/>
    </xf>
    <xf numFmtId="165" fontId="13" fillId="8" borderId="0" xfId="0" applyNumberFormat="1" applyFont="1" applyFill="1" applyAlignment="1" applyProtection="1">
      <alignment horizontal="center" vertical="center"/>
    </xf>
    <xf numFmtId="165" fontId="13" fillId="8" borderId="3" xfId="0" applyNumberFormat="1" applyFont="1" applyFill="1" applyBorder="1" applyAlignment="1" applyProtection="1">
      <alignment horizontal="center" vertical="center"/>
    </xf>
    <xf numFmtId="165" fontId="16" fillId="4" borderId="0" xfId="0" applyNumberFormat="1" applyFont="1" applyFill="1" applyAlignment="1" applyProtection="1">
      <alignment horizontal="center" vertical="center"/>
      <protection locked="0"/>
    </xf>
    <xf numFmtId="165" fontId="16" fillId="4" borderId="3" xfId="0" applyNumberFormat="1" applyFont="1" applyFill="1" applyBorder="1" applyAlignment="1" applyProtection="1">
      <alignment horizontal="center" vertical="center"/>
      <protection locked="0"/>
    </xf>
    <xf numFmtId="2" fontId="3" fillId="6" borderId="35" xfId="0" quotePrefix="1" applyNumberFormat="1" applyFont="1" applyFill="1" applyBorder="1" applyAlignment="1" applyProtection="1">
      <alignment horizontal="center" vertical="center" wrapText="1"/>
    </xf>
    <xf numFmtId="2" fontId="3" fillId="6" borderId="34" xfId="0" quotePrefix="1" applyNumberFormat="1" applyFont="1" applyFill="1" applyBorder="1" applyAlignment="1" applyProtection="1">
      <alignment horizontal="center" vertical="center" wrapText="1"/>
    </xf>
    <xf numFmtId="2" fontId="3" fillId="6" borderId="36" xfId="0" quotePrefix="1" applyNumberFormat="1" applyFont="1" applyFill="1" applyBorder="1" applyAlignment="1" applyProtection="1">
      <alignment horizontal="center" vertical="center" wrapText="1"/>
    </xf>
    <xf numFmtId="2" fontId="3" fillId="6" borderId="37" xfId="0" quotePrefix="1" applyNumberFormat="1" applyFont="1" applyFill="1" applyBorder="1" applyAlignment="1" applyProtection="1">
      <alignment horizontal="center" vertical="center" wrapText="1"/>
    </xf>
    <xf numFmtId="2" fontId="3" fillId="6" borderId="34" xfId="0" applyNumberFormat="1" applyFont="1" applyFill="1" applyBorder="1" applyAlignment="1" applyProtection="1">
      <alignment horizontal="center" vertical="center" wrapText="1"/>
    </xf>
    <xf numFmtId="2" fontId="3" fillId="6" borderId="2" xfId="0" applyNumberFormat="1" applyFont="1" applyFill="1" applyBorder="1" applyAlignment="1" applyProtection="1">
      <alignment horizontal="center" vertical="center"/>
    </xf>
    <xf numFmtId="2" fontId="3" fillId="6" borderId="0" xfId="0" applyNumberFormat="1" applyFont="1" applyFill="1" applyBorder="1" applyAlignment="1" applyProtection="1">
      <alignment horizontal="center" vertical="center"/>
    </xf>
    <xf numFmtId="0" fontId="3" fillId="4" borderId="17" xfId="0" applyFont="1" applyFill="1" applyBorder="1" applyAlignment="1" applyProtection="1">
      <alignment horizontal="right" vertical="center"/>
    </xf>
    <xf numFmtId="0" fontId="3" fillId="4" borderId="18" xfId="0" applyFont="1" applyFill="1" applyBorder="1" applyAlignment="1" applyProtection="1">
      <alignment horizontal="right" vertical="center"/>
    </xf>
    <xf numFmtId="165" fontId="16" fillId="4" borderId="18" xfId="0" applyNumberFormat="1" applyFont="1" applyFill="1" applyBorder="1" applyAlignment="1" applyProtection="1">
      <alignment horizontal="center" vertical="center"/>
      <protection locked="0"/>
    </xf>
    <xf numFmtId="165" fontId="16" fillId="4" borderId="19" xfId="0" applyNumberFormat="1" applyFont="1" applyFill="1" applyBorder="1" applyAlignment="1" applyProtection="1">
      <alignment horizontal="center" vertical="center"/>
      <protection locked="0"/>
    </xf>
    <xf numFmtId="1" fontId="16" fillId="4" borderId="21" xfId="0" applyNumberFormat="1" applyFont="1" applyFill="1" applyBorder="1" applyAlignment="1" applyProtection="1">
      <alignment horizontal="center" vertical="center"/>
      <protection locked="0"/>
    </xf>
    <xf numFmtId="1" fontId="16" fillId="4" borderId="24" xfId="0" applyNumberFormat="1" applyFont="1" applyFill="1" applyBorder="1" applyAlignment="1" applyProtection="1">
      <alignment horizontal="center" vertical="center"/>
      <protection locked="0"/>
    </xf>
    <xf numFmtId="1" fontId="16" fillId="4" borderId="25" xfId="0" applyNumberFormat="1" applyFont="1" applyFill="1" applyBorder="1" applyAlignment="1" applyProtection="1">
      <alignment horizontal="center" vertical="center"/>
      <protection locked="0"/>
    </xf>
    <xf numFmtId="0" fontId="13" fillId="4" borderId="17" xfId="0" applyFont="1" applyFill="1" applyBorder="1" applyAlignment="1" applyProtection="1">
      <alignment horizontal="center" vertical="center"/>
    </xf>
    <xf numFmtId="0" fontId="13" fillId="4" borderId="18"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165" fontId="13" fillId="8" borderId="0" xfId="0" applyNumberFormat="1" applyFont="1" applyFill="1" applyBorder="1" applyAlignment="1" applyProtection="1">
      <alignment horizontal="center" vertical="center"/>
    </xf>
    <xf numFmtId="0" fontId="16" fillId="4" borderId="0" xfId="0" applyFont="1" applyFill="1" applyBorder="1" applyAlignment="1" applyProtection="1">
      <alignment horizontal="center" vertical="center"/>
      <protection locked="0"/>
    </xf>
    <xf numFmtId="0" fontId="16" fillId="4" borderId="3" xfId="0" applyFont="1" applyFill="1" applyBorder="1" applyAlignment="1" applyProtection="1">
      <alignment horizontal="center" vertical="center"/>
      <protection locked="0"/>
    </xf>
    <xf numFmtId="0" fontId="1" fillId="7" borderId="21" xfId="0" applyFont="1" applyFill="1" applyBorder="1" applyAlignment="1">
      <alignment horizontal="center" vertical="center"/>
    </xf>
    <xf numFmtId="0" fontId="1" fillId="7" borderId="25" xfId="0" applyFont="1" applyFill="1" applyBorder="1" applyAlignment="1">
      <alignment horizontal="center" vertical="center"/>
    </xf>
    <xf numFmtId="0" fontId="3" fillId="4" borderId="51" xfId="0" applyNumberFormat="1" applyFont="1" applyFill="1" applyBorder="1" applyAlignment="1" applyProtection="1">
      <alignment horizontal="right" vertical="center" shrinkToFit="1"/>
    </xf>
    <xf numFmtId="0" fontId="3" fillId="4" borderId="41" xfId="0" applyNumberFormat="1" applyFont="1" applyFill="1" applyBorder="1" applyAlignment="1" applyProtection="1">
      <alignment horizontal="right" vertical="center" shrinkToFit="1"/>
    </xf>
    <xf numFmtId="165" fontId="0" fillId="4" borderId="41" xfId="0" applyNumberFormat="1" applyFill="1" applyBorder="1" applyAlignment="1" applyProtection="1">
      <alignment horizontal="center" vertical="center"/>
      <protection hidden="1"/>
    </xf>
    <xf numFmtId="165" fontId="0" fillId="4" borderId="43" xfId="0" applyNumberFormat="1" applyFill="1" applyBorder="1" applyAlignment="1" applyProtection="1">
      <alignment horizontal="center" vertical="center"/>
      <protection hidden="1"/>
    </xf>
    <xf numFmtId="0" fontId="0" fillId="5" borderId="1" xfId="0" applyFill="1" applyBorder="1" applyAlignment="1" applyProtection="1">
      <alignment horizontal="left"/>
      <protection hidden="1"/>
    </xf>
    <xf numFmtId="0" fontId="0" fillId="5" borderId="1" xfId="0" applyFill="1" applyBorder="1" applyAlignment="1" applyProtection="1">
      <alignment horizontal="right"/>
      <protection hidden="1"/>
    </xf>
    <xf numFmtId="0" fontId="10" fillId="0" borderId="18" xfId="0" applyFont="1" applyFill="1" applyBorder="1" applyAlignment="1" applyProtection="1">
      <alignment horizontal="left" vertical="center" wrapText="1"/>
    </xf>
    <xf numFmtId="0" fontId="11" fillId="0" borderId="18" xfId="0" applyFont="1" applyFill="1" applyBorder="1" applyAlignment="1" applyProtection="1">
      <alignment horizontal="left" vertical="center" wrapText="1"/>
    </xf>
    <xf numFmtId="0" fontId="11" fillId="0" borderId="19"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xf>
    <xf numFmtId="0" fontId="3" fillId="0" borderId="21"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0" borderId="21" xfId="0" applyFont="1" applyFill="1" applyBorder="1" applyAlignment="1" applyProtection="1">
      <alignment horizontal="right" vertical="center"/>
    </xf>
    <xf numFmtId="0" fontId="0" fillId="0" borderId="22" xfId="0" applyFont="1" applyFill="1" applyBorder="1" applyAlignment="1" applyProtection="1">
      <alignment horizontal="right" vertical="center"/>
    </xf>
    <xf numFmtId="0" fontId="0" fillId="0" borderId="24" xfId="0" applyFont="1" applyFill="1" applyBorder="1" applyAlignment="1" applyProtection="1">
      <alignment horizontal="center" vertical="center"/>
    </xf>
    <xf numFmtId="0" fontId="1" fillId="0" borderId="0" xfId="0" applyFont="1" applyFill="1" applyBorder="1" applyAlignment="1" applyProtection="1">
      <alignment horizontal="center"/>
      <protection hidden="1"/>
    </xf>
    <xf numFmtId="0" fontId="1" fillId="0" borderId="9" xfId="0" applyFont="1" applyFill="1" applyBorder="1" applyAlignment="1" applyProtection="1">
      <alignment horizontal="center"/>
      <protection hidden="1"/>
    </xf>
    <xf numFmtId="0" fontId="0" fillId="0" borderId="10" xfId="0" applyFill="1" applyBorder="1" applyAlignment="1" applyProtection="1">
      <alignment horizontal="center" wrapText="1"/>
      <protection hidden="1"/>
    </xf>
    <xf numFmtId="0" fontId="0" fillId="0" borderId="11" xfId="0" applyFill="1" applyBorder="1" applyAlignment="1" applyProtection="1">
      <alignment horizontal="center" wrapText="1"/>
      <protection hidden="1"/>
    </xf>
    <xf numFmtId="0" fontId="0" fillId="0" borderId="12" xfId="0" applyFill="1" applyBorder="1" applyAlignment="1" applyProtection="1">
      <alignment horizontal="center" wrapText="1"/>
      <protection hidden="1"/>
    </xf>
    <xf numFmtId="0" fontId="0" fillId="0" borderId="5" xfId="0" applyFill="1" applyBorder="1" applyAlignment="1" applyProtection="1">
      <alignment horizontal="center"/>
      <protection hidden="1"/>
    </xf>
    <xf numFmtId="0" fontId="0" fillId="0" borderId="6" xfId="0" applyFill="1" applyBorder="1" applyAlignment="1" applyProtection="1">
      <alignment horizontal="center"/>
      <protection hidden="1"/>
    </xf>
    <xf numFmtId="0" fontId="0" fillId="0" borderId="7" xfId="0" applyFill="1" applyBorder="1" applyAlignment="1" applyProtection="1">
      <alignment horizontal="center"/>
      <protection hidden="1"/>
    </xf>
    <xf numFmtId="0" fontId="5" fillId="0" borderId="0" xfId="0" applyFont="1" applyFill="1" applyBorder="1" applyAlignment="1">
      <alignment horizontal="left" vertical="center" wrapText="1"/>
    </xf>
    <xf numFmtId="0" fontId="7" fillId="0" borderId="0" xfId="2" applyFont="1" applyFill="1" applyBorder="1" applyAlignment="1">
      <alignment horizontal="left" wrapText="1"/>
    </xf>
    <xf numFmtId="0" fontId="6" fillId="0" borderId="0" xfId="1" applyAlignment="1" applyProtection="1">
      <protection locked="0"/>
    </xf>
    <xf numFmtId="0" fontId="7" fillId="0" borderId="0" xfId="2" applyFont="1" applyFill="1" applyBorder="1" applyAlignment="1">
      <alignment horizontal="left" vertical="top" wrapText="1"/>
    </xf>
    <xf numFmtId="0" fontId="7" fillId="0" borderId="0" xfId="0" applyFont="1" applyFill="1" applyBorder="1" applyAlignment="1">
      <alignment horizontal="left" vertical="center" wrapText="1"/>
    </xf>
    <xf numFmtId="0" fontId="5" fillId="0" borderId="0" xfId="2" applyFont="1" applyFill="1" applyBorder="1" applyAlignment="1">
      <alignment horizontal="left" vertical="center" wrapText="1"/>
    </xf>
    <xf numFmtId="0" fontId="5" fillId="0" borderId="0" xfId="2" applyFont="1" applyFill="1" applyBorder="1" applyAlignment="1">
      <alignment horizontal="right" vertical="center" wrapText="1"/>
    </xf>
    <xf numFmtId="0" fontId="6" fillId="0" borderId="0" xfId="1" applyFill="1" applyBorder="1" applyAlignment="1" applyProtection="1">
      <alignment horizontal="left" vertical="center" wrapText="1"/>
      <protection locked="0"/>
    </xf>
    <xf numFmtId="0" fontId="6" fillId="0" borderId="0" xfId="1" applyFill="1" applyBorder="1" applyAlignment="1" applyProtection="1">
      <alignment horizontal="right" vertical="center" wrapText="1"/>
      <protection locked="0"/>
    </xf>
    <xf numFmtId="0" fontId="5" fillId="0" borderId="18"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Alignment="1">
      <alignment horizontal="left" vertical="center" wrapText="1"/>
    </xf>
    <xf numFmtId="2" fontId="0" fillId="7" borderId="17" xfId="0" applyNumberFormat="1" applyFill="1" applyBorder="1" applyAlignment="1" applyProtection="1">
      <alignment horizontal="center" vertical="center"/>
      <protection hidden="1"/>
    </xf>
    <xf numFmtId="2" fontId="0" fillId="7" borderId="2" xfId="0" applyNumberFormat="1" applyFill="1" applyBorder="1" applyAlignment="1" applyProtection="1">
      <alignment horizontal="center" vertical="center"/>
      <protection hidden="1"/>
    </xf>
    <xf numFmtId="0" fontId="0" fillId="7" borderId="54" xfId="0" applyFill="1" applyBorder="1" applyAlignment="1">
      <alignment horizontal="left" vertical="center" indent="1"/>
    </xf>
    <xf numFmtId="2" fontId="0" fillId="7" borderId="15" xfId="0" applyNumberFormat="1" applyFill="1" applyBorder="1" applyAlignment="1" applyProtection="1">
      <alignment horizontal="center" vertical="center"/>
      <protection hidden="1"/>
    </xf>
    <xf numFmtId="0" fontId="12" fillId="0" borderId="17" xfId="0" applyFont="1" applyFill="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0" fillId="0" borderId="18" xfId="0" applyFill="1" applyBorder="1" applyAlignment="1" applyProtection="1">
      <alignment vertical="center"/>
    </xf>
    <xf numFmtId="2" fontId="0" fillId="0" borderId="18" xfId="0" applyNumberFormat="1" applyFill="1" applyBorder="1" applyAlignment="1" applyProtection="1">
      <alignment vertical="center"/>
    </xf>
    <xf numFmtId="2" fontId="8" fillId="0" borderId="20" xfId="0" applyNumberFormat="1" applyFont="1" applyFill="1" applyBorder="1" applyAlignment="1" applyProtection="1">
      <alignment vertical="center"/>
    </xf>
    <xf numFmtId="0" fontId="12" fillId="0" borderId="15"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2" fontId="13" fillId="0" borderId="23" xfId="0" applyNumberFormat="1" applyFont="1" applyFill="1" applyBorder="1" applyAlignment="1" applyProtection="1">
      <alignment horizontal="center" vertical="center"/>
    </xf>
    <xf numFmtId="2" fontId="13" fillId="0" borderId="24" xfId="0" applyNumberFormat="1" applyFont="1" applyFill="1" applyBorder="1" applyAlignment="1" applyProtection="1">
      <alignment horizontal="center" vertical="center"/>
    </xf>
    <xf numFmtId="2" fontId="13" fillId="0" borderId="20" xfId="0" applyNumberFormat="1" applyFont="1" applyFill="1" applyBorder="1" applyAlignment="1" applyProtection="1">
      <alignment horizontal="center" vertical="center"/>
    </xf>
    <xf numFmtId="0" fontId="13" fillId="0" borderId="23" xfId="0" applyFont="1" applyFill="1" applyBorder="1" applyAlignment="1" applyProtection="1">
      <alignment horizontal="center" vertical="center"/>
    </xf>
    <xf numFmtId="0" fontId="13" fillId="0" borderId="24" xfId="0" applyFont="1" applyFill="1" applyBorder="1" applyAlignment="1" applyProtection="1">
      <alignment horizontal="center" vertical="center"/>
    </xf>
    <xf numFmtId="0" fontId="13" fillId="0" borderId="25" xfId="0" applyFont="1" applyFill="1" applyBorder="1" applyAlignment="1" applyProtection="1">
      <alignment horizontal="center" vertical="center"/>
    </xf>
    <xf numFmtId="0" fontId="12" fillId="0" borderId="23" xfId="0" applyFont="1" applyFill="1" applyBorder="1" applyAlignment="1" applyProtection="1">
      <alignment horizontal="left" vertical="center" indent="1"/>
    </xf>
    <xf numFmtId="0" fontId="12" fillId="0" borderId="24" xfId="0" applyFont="1" applyFill="1" applyBorder="1" applyAlignment="1" applyProtection="1">
      <alignment horizontal="left" vertical="center" indent="1"/>
    </xf>
    <xf numFmtId="0" fontId="12" fillId="0" borderId="25" xfId="0" applyFont="1" applyFill="1" applyBorder="1" applyAlignment="1" applyProtection="1">
      <alignment horizontal="left" vertical="center" indent="1"/>
    </xf>
    <xf numFmtId="0" fontId="13" fillId="0" borderId="26"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164" fontId="13" fillId="0" borderId="23" xfId="0" applyNumberFormat="1" applyFont="1" applyFill="1" applyBorder="1" applyAlignment="1" applyProtection="1">
      <alignment horizontal="center" vertical="center"/>
    </xf>
    <xf numFmtId="164" fontId="13" fillId="0" borderId="24" xfId="0" applyNumberFormat="1" applyFont="1" applyFill="1" applyBorder="1" applyAlignment="1" applyProtection="1">
      <alignment horizontal="center" vertical="center"/>
    </xf>
    <xf numFmtId="164" fontId="13" fillId="0" borderId="20" xfId="0" applyNumberFormat="1" applyFont="1" applyFill="1" applyBorder="1" applyAlignment="1" applyProtection="1">
      <alignment horizontal="center" vertical="center"/>
    </xf>
  </cellXfs>
  <cellStyles count="4">
    <cellStyle name="Hyperlink" xfId="1" builtinId="8"/>
    <cellStyle name="Normal" xfId="0" builtinId="0"/>
    <cellStyle name="Normal 2" xfId="2" xr:uid="{00000000-0005-0000-0000-000002000000}"/>
    <cellStyle name="Percent" xfId="3" builtinId="5"/>
  </cellStyles>
  <dxfs count="22">
    <dxf>
      <font>
        <b val="0"/>
        <i val="0"/>
        <color rgb="FF808080"/>
      </font>
      <numFmt numFmtId="167" formatCode="&quot;N/A&quot;"/>
    </dxf>
    <dxf>
      <fill>
        <patternFill>
          <bgColor rgb="FFFFCC00"/>
        </patternFill>
      </fill>
    </dxf>
    <dxf>
      <fill>
        <patternFill>
          <bgColor rgb="FFFFCC00"/>
        </patternFill>
      </fill>
    </dxf>
    <dxf>
      <fill>
        <patternFill>
          <bgColor rgb="FFFFCC00"/>
        </patternFill>
      </fill>
    </dxf>
    <dxf>
      <fill>
        <patternFill>
          <bgColor rgb="FFFFCC00"/>
        </patternFill>
      </fill>
    </dxf>
    <dxf>
      <font>
        <b val="0"/>
        <i val="0"/>
        <color rgb="FF808080"/>
      </font>
      <numFmt numFmtId="167" formatCode="&quot;N/A&quot;"/>
    </dxf>
    <dxf>
      <fill>
        <patternFill>
          <bgColor rgb="FFFFCC00"/>
        </patternFill>
      </fill>
    </dxf>
    <dxf>
      <font>
        <b/>
        <i val="0"/>
      </font>
    </dxf>
    <dxf>
      <font>
        <color rgb="FF808080"/>
      </font>
    </dxf>
    <dxf>
      <font>
        <color rgb="FF808080"/>
      </font>
    </dxf>
    <dxf>
      <font>
        <b/>
        <i val="0"/>
      </font>
    </dxf>
    <dxf>
      <font>
        <b/>
        <i val="0"/>
      </font>
    </dxf>
    <dxf>
      <font>
        <b/>
        <i val="0"/>
      </font>
    </dxf>
    <dxf>
      <font>
        <b val="0"/>
        <i val="0"/>
        <color rgb="FF808080"/>
      </font>
      <numFmt numFmtId="167" formatCode="&quot;N/A&quot;"/>
    </dxf>
    <dxf>
      <font>
        <b val="0"/>
        <i val="0"/>
        <color rgb="FF808080"/>
      </font>
      <numFmt numFmtId="167" formatCode="&quot;N/A&quot;"/>
    </dxf>
    <dxf>
      <font>
        <color rgb="FF808080"/>
      </font>
    </dxf>
    <dxf>
      <font>
        <color rgb="FF808080"/>
      </font>
    </dxf>
    <dxf>
      <font>
        <color rgb="FF808080"/>
      </font>
    </dxf>
    <dxf>
      <font>
        <color rgb="FF808080"/>
      </font>
    </dxf>
    <dxf>
      <font>
        <color rgb="FF808080"/>
      </font>
    </dxf>
    <dxf>
      <font>
        <color rgb="FF808080"/>
      </font>
    </dxf>
    <dxf>
      <font>
        <color rgb="FF808080"/>
      </font>
    </dxf>
  </dxfs>
  <tableStyles count="0" defaultTableStyle="TableStyleMedium2" defaultPivotStyle="PivotStyleLight16"/>
  <colors>
    <mruColors>
      <color rgb="FFCCFF33"/>
      <color rgb="FF808080"/>
      <color rgb="FFC0C0C0"/>
      <color rgb="FFFFCC00"/>
      <color rgb="FFFFFF66"/>
      <color rgb="FFFFFF00"/>
      <color rgb="FFFFFFCC"/>
      <color rgb="FFF8F8F8"/>
      <color rgb="FFFFFF99"/>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xdr:from>
      <xdr:col>17</xdr:col>
      <xdr:colOff>104775</xdr:colOff>
      <xdr:row>24</xdr:row>
      <xdr:rowOff>200025</xdr:rowOff>
    </xdr:from>
    <xdr:to>
      <xdr:col>25</xdr:col>
      <xdr:colOff>219075</xdr:colOff>
      <xdr:row>34</xdr:row>
      <xdr:rowOff>104775</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4895850" y="5486400"/>
          <a:ext cx="2867025" cy="2000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193674</xdr:colOff>
      <xdr:row>28</xdr:row>
      <xdr:rowOff>85726</xdr:rowOff>
    </xdr:from>
    <xdr:to>
      <xdr:col>20</xdr:col>
      <xdr:colOff>298449</xdr:colOff>
      <xdr:row>29</xdr:row>
      <xdr:rowOff>19050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5813424" y="6210301"/>
          <a:ext cx="323850" cy="142874"/>
        </a:xfrm>
        <a:prstGeom prst="rect">
          <a:avLst/>
        </a:prstGeom>
        <a:solidFill>
          <a:schemeClr val="bg1">
            <a:lumMod val="9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21</xdr:col>
      <xdr:colOff>28574</xdr:colOff>
      <xdr:row>28</xdr:row>
      <xdr:rowOff>85726</xdr:rowOff>
    </xdr:from>
    <xdr:to>
      <xdr:col>21</xdr:col>
      <xdr:colOff>355599</xdr:colOff>
      <xdr:row>29</xdr:row>
      <xdr:rowOff>19050</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6181724" y="6210301"/>
          <a:ext cx="327025" cy="142874"/>
        </a:xfrm>
        <a:prstGeom prst="rect">
          <a:avLst/>
        </a:prstGeom>
        <a:solidFill>
          <a:schemeClr val="bg1">
            <a:lumMod val="9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22224</xdr:colOff>
      <xdr:row>28</xdr:row>
      <xdr:rowOff>85726</xdr:rowOff>
    </xdr:from>
    <xdr:to>
      <xdr:col>22</xdr:col>
      <xdr:colOff>349249</xdr:colOff>
      <xdr:row>29</xdr:row>
      <xdr:rowOff>19050</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6556374" y="6210301"/>
          <a:ext cx="327025" cy="142874"/>
        </a:xfrm>
        <a:prstGeom prst="rect">
          <a:avLst/>
        </a:prstGeom>
        <a:solidFill>
          <a:schemeClr val="bg1">
            <a:lumMod val="9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193674</xdr:colOff>
      <xdr:row>29</xdr:row>
      <xdr:rowOff>60326</xdr:rowOff>
    </xdr:from>
    <xdr:to>
      <xdr:col>20</xdr:col>
      <xdr:colOff>298449</xdr:colOff>
      <xdr:row>29</xdr:row>
      <xdr:rowOff>203200</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5813424" y="6394451"/>
          <a:ext cx="323850" cy="142874"/>
        </a:xfrm>
        <a:prstGeom prst="rect">
          <a:avLst/>
        </a:prstGeom>
        <a:solidFill>
          <a:schemeClr val="bg1">
            <a:lumMod val="9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21</xdr:col>
      <xdr:colOff>28574</xdr:colOff>
      <xdr:row>29</xdr:row>
      <xdr:rowOff>60326</xdr:rowOff>
    </xdr:from>
    <xdr:to>
      <xdr:col>21</xdr:col>
      <xdr:colOff>355599</xdr:colOff>
      <xdr:row>29</xdr:row>
      <xdr:rowOff>203200</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6181724" y="6394451"/>
          <a:ext cx="327025" cy="142874"/>
        </a:xfrm>
        <a:prstGeom prst="rect">
          <a:avLst/>
        </a:prstGeom>
        <a:solidFill>
          <a:schemeClr val="bg1">
            <a:lumMod val="9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22224</xdr:colOff>
      <xdr:row>29</xdr:row>
      <xdr:rowOff>60326</xdr:rowOff>
    </xdr:from>
    <xdr:to>
      <xdr:col>22</xdr:col>
      <xdr:colOff>349249</xdr:colOff>
      <xdr:row>29</xdr:row>
      <xdr:rowOff>203200</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6556374" y="6394451"/>
          <a:ext cx="327025" cy="142874"/>
        </a:xfrm>
        <a:prstGeom prst="rect">
          <a:avLst/>
        </a:prstGeom>
        <a:solidFill>
          <a:schemeClr val="bg1">
            <a:lumMod val="9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193674</xdr:colOff>
      <xdr:row>30</xdr:row>
      <xdr:rowOff>34926</xdr:rowOff>
    </xdr:from>
    <xdr:to>
      <xdr:col>20</xdr:col>
      <xdr:colOff>298449</xdr:colOff>
      <xdr:row>30</xdr:row>
      <xdr:rowOff>177800</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5813424" y="6578601"/>
          <a:ext cx="323850" cy="142874"/>
        </a:xfrm>
        <a:prstGeom prst="rect">
          <a:avLst/>
        </a:prstGeom>
        <a:solidFill>
          <a:schemeClr val="bg1">
            <a:lumMod val="9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21</xdr:col>
      <xdr:colOff>28574</xdr:colOff>
      <xdr:row>30</xdr:row>
      <xdr:rowOff>34926</xdr:rowOff>
    </xdr:from>
    <xdr:to>
      <xdr:col>21</xdr:col>
      <xdr:colOff>355599</xdr:colOff>
      <xdr:row>30</xdr:row>
      <xdr:rowOff>177800</xdr:rowOff>
    </xdr:to>
    <xdr:sp macro="" textlink="">
      <xdr:nvSpPr>
        <xdr:cNvPr id="11" name="Rectangle 10">
          <a:extLst>
            <a:ext uri="{FF2B5EF4-FFF2-40B4-BE49-F238E27FC236}">
              <a16:creationId xmlns:a16="http://schemas.microsoft.com/office/drawing/2014/main" id="{00000000-0008-0000-0000-00000B000000}"/>
            </a:ext>
          </a:extLst>
        </xdr:cNvPr>
        <xdr:cNvSpPr/>
      </xdr:nvSpPr>
      <xdr:spPr>
        <a:xfrm>
          <a:off x="6181724" y="6578601"/>
          <a:ext cx="327025" cy="142874"/>
        </a:xfrm>
        <a:prstGeom prst="rect">
          <a:avLst/>
        </a:prstGeom>
        <a:solidFill>
          <a:schemeClr val="bg1">
            <a:lumMod val="9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22224</xdr:colOff>
      <xdr:row>30</xdr:row>
      <xdr:rowOff>34926</xdr:rowOff>
    </xdr:from>
    <xdr:to>
      <xdr:col>22</xdr:col>
      <xdr:colOff>349249</xdr:colOff>
      <xdr:row>30</xdr:row>
      <xdr:rowOff>177800</xdr:rowOff>
    </xdr:to>
    <xdr:sp macro="" textlink="">
      <xdr:nvSpPr>
        <xdr:cNvPr id="12" name="Rectangle 11">
          <a:extLst>
            <a:ext uri="{FF2B5EF4-FFF2-40B4-BE49-F238E27FC236}">
              <a16:creationId xmlns:a16="http://schemas.microsoft.com/office/drawing/2014/main" id="{00000000-0008-0000-0000-00000C000000}"/>
            </a:ext>
          </a:extLst>
        </xdr:cNvPr>
        <xdr:cNvSpPr/>
      </xdr:nvSpPr>
      <xdr:spPr>
        <a:xfrm>
          <a:off x="6556374" y="6578601"/>
          <a:ext cx="327025" cy="142874"/>
        </a:xfrm>
        <a:prstGeom prst="rect">
          <a:avLst/>
        </a:prstGeom>
        <a:solidFill>
          <a:schemeClr val="bg1">
            <a:lumMod val="9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190500</xdr:colOff>
      <xdr:row>25</xdr:row>
      <xdr:rowOff>120651</xdr:rowOff>
    </xdr:from>
    <xdr:to>
      <xdr:col>22</xdr:col>
      <xdr:colOff>349249</xdr:colOff>
      <xdr:row>26</xdr:row>
      <xdr:rowOff>47625</xdr:rowOff>
    </xdr:to>
    <xdr:sp macro="" textlink="">
      <xdr:nvSpPr>
        <xdr:cNvPr id="13" name="RectangleNorth" hidden="1">
          <a:extLst>
            <a:ext uri="{FF2B5EF4-FFF2-40B4-BE49-F238E27FC236}">
              <a16:creationId xmlns:a16="http://schemas.microsoft.com/office/drawing/2014/main" id="{00000000-0008-0000-0000-00000D000000}"/>
            </a:ext>
          </a:extLst>
        </xdr:cNvPr>
        <xdr:cNvSpPr/>
      </xdr:nvSpPr>
      <xdr:spPr>
        <a:xfrm>
          <a:off x="5810250" y="5616576"/>
          <a:ext cx="1073149" cy="136524"/>
        </a:xfrm>
        <a:prstGeom prst="rect">
          <a:avLst/>
        </a:prstGeom>
        <a:pattFill prst="ltUpDiag">
          <a:fgClr>
            <a:schemeClr val="bg1">
              <a:lumMod val="65000"/>
            </a:schemeClr>
          </a:fgClr>
          <a:bgClr>
            <a:srgbClr val="FFFFCC"/>
          </a:bgClr>
        </a:patt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190500</xdr:colOff>
      <xdr:row>33</xdr:row>
      <xdr:rowOff>25401</xdr:rowOff>
    </xdr:from>
    <xdr:to>
      <xdr:col>22</xdr:col>
      <xdr:colOff>349249</xdr:colOff>
      <xdr:row>33</xdr:row>
      <xdr:rowOff>161925</xdr:rowOff>
    </xdr:to>
    <xdr:sp macro="" textlink="">
      <xdr:nvSpPr>
        <xdr:cNvPr id="14" name="RectangleSouth" hidden="1">
          <a:extLst>
            <a:ext uri="{FF2B5EF4-FFF2-40B4-BE49-F238E27FC236}">
              <a16:creationId xmlns:a16="http://schemas.microsoft.com/office/drawing/2014/main" id="{00000000-0008-0000-0000-00000E000000}"/>
            </a:ext>
          </a:extLst>
        </xdr:cNvPr>
        <xdr:cNvSpPr/>
      </xdr:nvSpPr>
      <xdr:spPr>
        <a:xfrm>
          <a:off x="5810250" y="7197726"/>
          <a:ext cx="1073149" cy="136524"/>
        </a:xfrm>
        <a:prstGeom prst="rect">
          <a:avLst/>
        </a:prstGeom>
        <a:pattFill prst="ltUpDiag">
          <a:fgClr>
            <a:schemeClr val="bg1">
              <a:lumMod val="65000"/>
            </a:schemeClr>
          </a:fgClr>
          <a:bgClr>
            <a:srgbClr val="FFFFCC"/>
          </a:bgClr>
        </a:patt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24</xdr:col>
      <xdr:colOff>95251</xdr:colOff>
      <xdr:row>28</xdr:row>
      <xdr:rowOff>82550</xdr:rowOff>
    </xdr:from>
    <xdr:to>
      <xdr:col>25</xdr:col>
      <xdr:colOff>47626</xdr:colOff>
      <xdr:row>30</xdr:row>
      <xdr:rowOff>171449</xdr:rowOff>
    </xdr:to>
    <xdr:sp macro="" textlink="">
      <xdr:nvSpPr>
        <xdr:cNvPr id="15" name="RectangleEast" hidden="1">
          <a:extLst>
            <a:ext uri="{FF2B5EF4-FFF2-40B4-BE49-F238E27FC236}">
              <a16:creationId xmlns:a16="http://schemas.microsoft.com/office/drawing/2014/main" id="{00000000-0008-0000-0000-00000F000000}"/>
            </a:ext>
          </a:extLst>
        </xdr:cNvPr>
        <xdr:cNvSpPr/>
      </xdr:nvSpPr>
      <xdr:spPr>
        <a:xfrm>
          <a:off x="7458076" y="6207125"/>
          <a:ext cx="133350" cy="507999"/>
        </a:xfrm>
        <a:prstGeom prst="rect">
          <a:avLst/>
        </a:prstGeom>
        <a:pattFill prst="ltUpDiag">
          <a:fgClr>
            <a:schemeClr val="bg1">
              <a:lumMod val="65000"/>
            </a:schemeClr>
          </a:fgClr>
          <a:bgClr>
            <a:srgbClr val="FFFFCC"/>
          </a:bgClr>
        </a:patt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17</xdr:col>
      <xdr:colOff>276226</xdr:colOff>
      <xdr:row>28</xdr:row>
      <xdr:rowOff>82550</xdr:rowOff>
    </xdr:from>
    <xdr:to>
      <xdr:col>18</xdr:col>
      <xdr:colOff>95251</xdr:colOff>
      <xdr:row>30</xdr:row>
      <xdr:rowOff>171449</xdr:rowOff>
    </xdr:to>
    <xdr:sp macro="" textlink="">
      <xdr:nvSpPr>
        <xdr:cNvPr id="16" name="RectangleWest" hidden="1">
          <a:extLst>
            <a:ext uri="{FF2B5EF4-FFF2-40B4-BE49-F238E27FC236}">
              <a16:creationId xmlns:a16="http://schemas.microsoft.com/office/drawing/2014/main" id="{00000000-0008-0000-0000-000010000000}"/>
            </a:ext>
          </a:extLst>
        </xdr:cNvPr>
        <xdr:cNvSpPr/>
      </xdr:nvSpPr>
      <xdr:spPr>
        <a:xfrm>
          <a:off x="5067301" y="6207125"/>
          <a:ext cx="133350" cy="507999"/>
        </a:xfrm>
        <a:prstGeom prst="rect">
          <a:avLst/>
        </a:prstGeom>
        <a:pattFill prst="ltUpDiag">
          <a:fgClr>
            <a:schemeClr val="bg1">
              <a:lumMod val="65000"/>
            </a:schemeClr>
          </a:fgClr>
          <a:bgClr>
            <a:srgbClr val="FFFFCC"/>
          </a:bgClr>
        </a:patt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339329</xdr:colOff>
      <xdr:row>27</xdr:row>
      <xdr:rowOff>123826</xdr:rowOff>
    </xdr:from>
    <xdr:to>
      <xdr:col>25</xdr:col>
      <xdr:colOff>208359</xdr:colOff>
      <xdr:row>27</xdr:row>
      <xdr:rowOff>123826</xdr:rowOff>
    </xdr:to>
    <xdr:cxnSp macro="">
      <xdr:nvCxnSpPr>
        <xdr:cNvPr id="20" name="Straight Arrow Connector 19">
          <a:extLst>
            <a:ext uri="{FF2B5EF4-FFF2-40B4-BE49-F238E27FC236}">
              <a16:creationId xmlns:a16="http://schemas.microsoft.com/office/drawing/2014/main" id="{00000000-0008-0000-0000-000014000000}"/>
            </a:ext>
          </a:extLst>
        </xdr:cNvPr>
        <xdr:cNvCxnSpPr/>
      </xdr:nvCxnSpPr>
      <xdr:spPr>
        <a:xfrm>
          <a:off x="6873479" y="6038851"/>
          <a:ext cx="878680" cy="0"/>
        </a:xfrm>
        <a:prstGeom prst="straightConnector1">
          <a:avLst/>
        </a:prstGeom>
        <a:ln w="6350" cap="flat" cmpd="sng">
          <a:solidFill>
            <a:schemeClr val="tx1"/>
          </a:solidFill>
          <a:prstDash val="solid"/>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108096</xdr:colOff>
      <xdr:row>31</xdr:row>
      <xdr:rowOff>171450</xdr:rowOff>
    </xdr:from>
    <xdr:to>
      <xdr:col>19</xdr:col>
      <xdr:colOff>185487</xdr:colOff>
      <xdr:row>31</xdr:row>
      <xdr:rowOff>171450</xdr:rowOff>
    </xdr:to>
    <xdr:cxnSp macro="">
      <xdr:nvCxnSpPr>
        <xdr:cNvPr id="23" name="Straight Arrow Connector 22">
          <a:extLst>
            <a:ext uri="{FF2B5EF4-FFF2-40B4-BE49-F238E27FC236}">
              <a16:creationId xmlns:a16="http://schemas.microsoft.com/office/drawing/2014/main" id="{00000000-0008-0000-0000-000017000000}"/>
            </a:ext>
          </a:extLst>
        </xdr:cNvPr>
        <xdr:cNvCxnSpPr/>
      </xdr:nvCxnSpPr>
      <xdr:spPr>
        <a:xfrm>
          <a:off x="4899171" y="6924675"/>
          <a:ext cx="906066" cy="0"/>
        </a:xfrm>
        <a:prstGeom prst="straightConnector1">
          <a:avLst/>
        </a:prstGeom>
        <a:ln w="6350" cap="flat" cmpd="sng">
          <a:solidFill>
            <a:schemeClr val="tx1"/>
          </a:solidFill>
          <a:prstDash val="solid"/>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24</xdr:row>
      <xdr:rowOff>207169</xdr:rowOff>
    </xdr:from>
    <xdr:to>
      <xdr:col>19</xdr:col>
      <xdr:colOff>0</xdr:colOff>
      <xdr:row>28</xdr:row>
      <xdr:rowOff>76201</xdr:rowOff>
    </xdr:to>
    <xdr:cxnSp macro="">
      <xdr:nvCxnSpPr>
        <xdr:cNvPr id="26" name="Straight Arrow Connector 25">
          <a:extLst>
            <a:ext uri="{FF2B5EF4-FFF2-40B4-BE49-F238E27FC236}">
              <a16:creationId xmlns:a16="http://schemas.microsoft.com/office/drawing/2014/main" id="{00000000-0008-0000-0000-00001A000000}"/>
            </a:ext>
          </a:extLst>
        </xdr:cNvPr>
        <xdr:cNvCxnSpPr/>
      </xdr:nvCxnSpPr>
      <xdr:spPr>
        <a:xfrm flipV="1">
          <a:off x="5619750" y="5493544"/>
          <a:ext cx="0" cy="707232"/>
        </a:xfrm>
        <a:prstGeom prst="straightConnector1">
          <a:avLst/>
        </a:prstGeom>
        <a:ln w="6350" cap="flat" cmpd="sng">
          <a:solidFill>
            <a:schemeClr val="tx1"/>
          </a:solidFill>
          <a:prstDash val="solid"/>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142876</xdr:colOff>
      <xdr:row>30</xdr:row>
      <xdr:rowOff>177404</xdr:rowOff>
    </xdr:from>
    <xdr:to>
      <xdr:col>23</xdr:col>
      <xdr:colOff>142876</xdr:colOff>
      <xdr:row>34</xdr:row>
      <xdr:rowOff>105965</xdr:rowOff>
    </xdr:to>
    <xdr:cxnSp macro="">
      <xdr:nvCxnSpPr>
        <xdr:cNvPr id="31" name="Straight Arrow Connector 30">
          <a:extLst>
            <a:ext uri="{FF2B5EF4-FFF2-40B4-BE49-F238E27FC236}">
              <a16:creationId xmlns:a16="http://schemas.microsoft.com/office/drawing/2014/main" id="{00000000-0008-0000-0000-00001F000000}"/>
            </a:ext>
          </a:extLst>
        </xdr:cNvPr>
        <xdr:cNvCxnSpPr/>
      </xdr:nvCxnSpPr>
      <xdr:spPr>
        <a:xfrm flipV="1">
          <a:off x="7124701" y="6721079"/>
          <a:ext cx="0" cy="766761"/>
        </a:xfrm>
        <a:prstGeom prst="straightConnector1">
          <a:avLst/>
        </a:prstGeom>
        <a:ln w="6350" cap="flat" cmpd="sng">
          <a:solidFill>
            <a:schemeClr val="tx1"/>
          </a:solidFill>
          <a:prstDash val="solid"/>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101203</xdr:colOff>
      <xdr:row>30</xdr:row>
      <xdr:rowOff>88107</xdr:rowOff>
    </xdr:from>
    <xdr:to>
      <xdr:col>19</xdr:col>
      <xdr:colOff>190500</xdr:colOff>
      <xdr:row>30</xdr:row>
      <xdr:rowOff>88107</xdr:rowOff>
    </xdr:to>
    <xdr:cxnSp macro="">
      <xdr:nvCxnSpPr>
        <xdr:cNvPr id="33" name="ArrowWest" hidden="1">
          <a:extLst>
            <a:ext uri="{FF2B5EF4-FFF2-40B4-BE49-F238E27FC236}">
              <a16:creationId xmlns:a16="http://schemas.microsoft.com/office/drawing/2014/main" id="{00000000-0008-0000-0000-000021000000}"/>
            </a:ext>
          </a:extLst>
        </xdr:cNvPr>
        <xdr:cNvCxnSpPr/>
      </xdr:nvCxnSpPr>
      <xdr:spPr>
        <a:xfrm>
          <a:off x="5206603" y="6631782"/>
          <a:ext cx="603647" cy="0"/>
        </a:xfrm>
        <a:prstGeom prst="straightConnector1">
          <a:avLst/>
        </a:prstGeom>
        <a:ln w="6350" cap="flat" cmpd="sng">
          <a:solidFill>
            <a:schemeClr val="tx1"/>
          </a:solidFill>
          <a:prstDash val="solid"/>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339329</xdr:colOff>
      <xdr:row>28</xdr:row>
      <xdr:rowOff>169751</xdr:rowOff>
    </xdr:from>
    <xdr:to>
      <xdr:col>24</xdr:col>
      <xdr:colOff>95250</xdr:colOff>
      <xdr:row>28</xdr:row>
      <xdr:rowOff>169751</xdr:rowOff>
    </xdr:to>
    <xdr:cxnSp macro="">
      <xdr:nvCxnSpPr>
        <xdr:cNvPr id="35" name="ArrowEast" hidden="1">
          <a:extLst>
            <a:ext uri="{FF2B5EF4-FFF2-40B4-BE49-F238E27FC236}">
              <a16:creationId xmlns:a16="http://schemas.microsoft.com/office/drawing/2014/main" id="{00000000-0008-0000-0000-000023000000}"/>
            </a:ext>
          </a:extLst>
        </xdr:cNvPr>
        <xdr:cNvCxnSpPr/>
      </xdr:nvCxnSpPr>
      <xdr:spPr>
        <a:xfrm>
          <a:off x="6873479" y="6294326"/>
          <a:ext cx="584596" cy="0"/>
        </a:xfrm>
        <a:prstGeom prst="straightConnector1">
          <a:avLst/>
        </a:prstGeom>
        <a:ln w="6350" cap="flat" cmpd="sng">
          <a:solidFill>
            <a:schemeClr val="tx1"/>
          </a:solidFill>
          <a:prstDash val="solid"/>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244078</xdr:colOff>
      <xdr:row>30</xdr:row>
      <xdr:rowOff>177404</xdr:rowOff>
    </xdr:from>
    <xdr:to>
      <xdr:col>22</xdr:col>
      <xdr:colOff>244078</xdr:colOff>
      <xdr:row>33</xdr:row>
      <xdr:rowOff>25400</xdr:rowOff>
    </xdr:to>
    <xdr:cxnSp macro="">
      <xdr:nvCxnSpPr>
        <xdr:cNvPr id="37" name="ArrowSouth" hidden="1">
          <a:extLst>
            <a:ext uri="{FF2B5EF4-FFF2-40B4-BE49-F238E27FC236}">
              <a16:creationId xmlns:a16="http://schemas.microsoft.com/office/drawing/2014/main" id="{00000000-0008-0000-0000-000025000000}"/>
            </a:ext>
          </a:extLst>
        </xdr:cNvPr>
        <xdr:cNvCxnSpPr/>
      </xdr:nvCxnSpPr>
      <xdr:spPr>
        <a:xfrm flipV="1">
          <a:off x="6778228" y="6721079"/>
          <a:ext cx="0" cy="476646"/>
        </a:xfrm>
        <a:prstGeom prst="straightConnector1">
          <a:avLst/>
        </a:prstGeom>
        <a:ln w="6350" cap="flat" cmpd="sng">
          <a:solidFill>
            <a:schemeClr val="tx1"/>
          </a:solidFill>
          <a:prstDash val="solid"/>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178593</xdr:colOff>
      <xdr:row>26</xdr:row>
      <xdr:rowOff>52615</xdr:rowOff>
    </xdr:from>
    <xdr:to>
      <xdr:col>20</xdr:col>
      <xdr:colOff>178593</xdr:colOff>
      <xdr:row>28</xdr:row>
      <xdr:rowOff>82153</xdr:rowOff>
    </xdr:to>
    <xdr:cxnSp macro="">
      <xdr:nvCxnSpPr>
        <xdr:cNvPr id="43" name="ArrowNorth" hidden="1">
          <a:extLst>
            <a:ext uri="{FF2B5EF4-FFF2-40B4-BE49-F238E27FC236}">
              <a16:creationId xmlns:a16="http://schemas.microsoft.com/office/drawing/2014/main" id="{00000000-0008-0000-0000-00002B000000}"/>
            </a:ext>
          </a:extLst>
        </xdr:cNvPr>
        <xdr:cNvCxnSpPr/>
      </xdr:nvCxnSpPr>
      <xdr:spPr>
        <a:xfrm flipV="1">
          <a:off x="6017418" y="5758090"/>
          <a:ext cx="0" cy="448638"/>
        </a:xfrm>
        <a:prstGeom prst="straightConnector1">
          <a:avLst/>
        </a:prstGeom>
        <a:ln w="6350" cap="flat" cmpd="sng">
          <a:solidFill>
            <a:schemeClr val="tx1"/>
          </a:solidFill>
          <a:prstDash val="solid"/>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306586</xdr:colOff>
      <xdr:row>25</xdr:row>
      <xdr:rowOff>83343</xdr:rowOff>
    </xdr:from>
    <xdr:to>
      <xdr:col>19</xdr:col>
      <xdr:colOff>62508</xdr:colOff>
      <xdr:row>28</xdr:row>
      <xdr:rowOff>8928</xdr:rowOff>
    </xdr:to>
    <xdr:sp macro="" textlink="$F$33">
      <xdr:nvSpPr>
        <xdr:cNvPr id="45" name="TextBox 44">
          <a:extLst>
            <a:ext uri="{FF2B5EF4-FFF2-40B4-BE49-F238E27FC236}">
              <a16:creationId xmlns:a16="http://schemas.microsoft.com/office/drawing/2014/main" id="{00000000-0008-0000-0000-00002D000000}"/>
            </a:ext>
          </a:extLst>
        </xdr:cNvPr>
        <xdr:cNvSpPr txBox="1"/>
      </xdr:nvSpPr>
      <xdr:spPr>
        <a:xfrm rot="16200000">
          <a:off x="5270004" y="5721250"/>
          <a:ext cx="554235" cy="270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413CD6C0-F041-435A-BC53-3DD84A1F0390}" type="TxLink">
            <a:rPr lang="en-US" sz="1100" b="0" i="0" u="none" strike="noStrike">
              <a:solidFill>
                <a:schemeClr val="tx1"/>
              </a:solidFill>
              <a:latin typeface="Calibri"/>
            </a:rPr>
            <a:pPr algn="ctr"/>
            <a:t>2.0</a:t>
          </a:fld>
          <a:endParaRPr lang="en-GB" sz="1100" b="0">
            <a:solidFill>
              <a:schemeClr val="tx1"/>
            </a:solidFill>
          </a:endParaRPr>
        </a:p>
      </xdr:txBody>
    </xdr:sp>
    <xdr:clientData/>
  </xdr:twoCellAnchor>
  <xdr:twoCellAnchor>
    <xdr:from>
      <xdr:col>22</xdr:col>
      <xdr:colOff>378023</xdr:colOff>
      <xdr:row>31</xdr:row>
      <xdr:rowOff>73818</xdr:rowOff>
    </xdr:from>
    <xdr:to>
      <xdr:col>23</xdr:col>
      <xdr:colOff>199429</xdr:colOff>
      <xdr:row>34</xdr:row>
      <xdr:rowOff>29169</xdr:rowOff>
    </xdr:to>
    <xdr:sp macro="" textlink="$F$35">
      <xdr:nvSpPr>
        <xdr:cNvPr id="46" name="TextBox 45">
          <a:extLst>
            <a:ext uri="{FF2B5EF4-FFF2-40B4-BE49-F238E27FC236}">
              <a16:creationId xmlns:a16="http://schemas.microsoft.com/office/drawing/2014/main" id="{00000000-0008-0000-0000-00002E000000}"/>
            </a:ext>
          </a:extLst>
        </xdr:cNvPr>
        <xdr:cNvSpPr txBox="1"/>
      </xdr:nvSpPr>
      <xdr:spPr>
        <a:xfrm rot="16200000">
          <a:off x="6754713" y="6984503"/>
          <a:ext cx="584001"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BD8CADF7-8A3E-49F9-A6C9-87E7967EB572}" type="TxLink">
            <a:rPr lang="en-US" sz="1100" b="0" i="0" u="none" strike="noStrike">
              <a:solidFill>
                <a:schemeClr val="tx1"/>
              </a:solidFill>
              <a:latin typeface="Calibri"/>
            </a:rPr>
            <a:pPr algn="ctr"/>
            <a:t>2.0</a:t>
          </a:fld>
          <a:endParaRPr lang="en-GB" sz="1100" b="0">
            <a:solidFill>
              <a:schemeClr val="tx1"/>
            </a:solidFill>
          </a:endParaRPr>
        </a:p>
      </xdr:txBody>
    </xdr:sp>
    <xdr:clientData/>
  </xdr:twoCellAnchor>
  <xdr:twoCellAnchor>
    <xdr:from>
      <xdr:col>23</xdr:col>
      <xdr:colOff>45244</xdr:colOff>
      <xdr:row>26</xdr:row>
      <xdr:rowOff>123824</xdr:rowOff>
    </xdr:from>
    <xdr:to>
      <xdr:col>25</xdr:col>
      <xdr:colOff>69056</xdr:colOff>
      <xdr:row>27</xdr:row>
      <xdr:rowOff>183356</xdr:rowOff>
    </xdr:to>
    <xdr:sp macro="" textlink="$F$34">
      <xdr:nvSpPr>
        <xdr:cNvPr id="27" name="TextBox 26">
          <a:extLst>
            <a:ext uri="{FF2B5EF4-FFF2-40B4-BE49-F238E27FC236}">
              <a16:creationId xmlns:a16="http://schemas.microsoft.com/office/drawing/2014/main" id="{00000000-0008-0000-0000-00001B000000}"/>
            </a:ext>
          </a:extLst>
        </xdr:cNvPr>
        <xdr:cNvSpPr txBox="1"/>
      </xdr:nvSpPr>
      <xdr:spPr>
        <a:xfrm>
          <a:off x="7027069" y="5829299"/>
          <a:ext cx="585787" cy="269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A130745A-507F-4338-A75C-3C1F596CBFFC}" type="TxLink">
            <a:rPr lang="en-US" sz="1100" b="0" i="0" u="none" strike="noStrike">
              <a:solidFill>
                <a:schemeClr val="tx1"/>
              </a:solidFill>
              <a:latin typeface="Calibri"/>
              <a:ea typeface="+mn-ea"/>
              <a:cs typeface="+mn-cs"/>
            </a:rPr>
            <a:pPr marL="0" indent="0" algn="ctr"/>
            <a:t>2.0</a:t>
          </a:fld>
          <a:endParaRPr lang="en-GB" sz="1100" b="0" i="0" u="none" strike="noStrike">
            <a:solidFill>
              <a:schemeClr val="tx1"/>
            </a:solidFill>
            <a:latin typeface="Calibri"/>
            <a:ea typeface="+mn-ea"/>
            <a:cs typeface="+mn-cs"/>
          </a:endParaRPr>
        </a:p>
      </xdr:txBody>
    </xdr:sp>
    <xdr:clientData/>
  </xdr:twoCellAnchor>
  <xdr:twoCellAnchor>
    <xdr:from>
      <xdr:col>17</xdr:col>
      <xdr:colOff>294085</xdr:colOff>
      <xdr:row>30</xdr:row>
      <xdr:rowOff>165496</xdr:rowOff>
    </xdr:from>
    <xdr:to>
      <xdr:col>19</xdr:col>
      <xdr:colOff>9525</xdr:colOff>
      <xdr:row>32</xdr:row>
      <xdr:rowOff>15477</xdr:rowOff>
    </xdr:to>
    <xdr:sp macro="" textlink="$F$36">
      <xdr:nvSpPr>
        <xdr:cNvPr id="28" name="TextBox 27">
          <a:extLst>
            <a:ext uri="{FF2B5EF4-FFF2-40B4-BE49-F238E27FC236}">
              <a16:creationId xmlns:a16="http://schemas.microsoft.com/office/drawing/2014/main" id="{00000000-0008-0000-0000-00001C000000}"/>
            </a:ext>
          </a:extLst>
        </xdr:cNvPr>
        <xdr:cNvSpPr txBox="1"/>
      </xdr:nvSpPr>
      <xdr:spPr>
        <a:xfrm>
          <a:off x="5085160" y="6709171"/>
          <a:ext cx="544115"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0B419E19-02E4-4F5A-8575-6ACF037274DB}" type="TxLink">
            <a:rPr lang="en-US" sz="1100" b="0" i="0" u="none" strike="noStrike">
              <a:solidFill>
                <a:schemeClr val="tx1"/>
              </a:solidFill>
              <a:latin typeface="Calibri"/>
              <a:ea typeface="+mn-ea"/>
              <a:cs typeface="+mn-cs"/>
            </a:rPr>
            <a:pPr marL="0" indent="0" algn="ctr"/>
            <a:t>2.0</a:t>
          </a:fld>
          <a:endParaRPr lang="en-GB" sz="1100" b="0" i="0" u="none" strike="noStrike">
            <a:solidFill>
              <a:schemeClr val="tx1"/>
            </a:solidFill>
            <a:latin typeface="Calibri"/>
            <a:ea typeface="+mn-ea"/>
            <a:cs typeface="+mn-cs"/>
          </a:endParaRPr>
        </a:p>
      </xdr:txBody>
    </xdr:sp>
    <xdr:clientData/>
  </xdr:twoCellAnchor>
  <xdr:twoCellAnchor>
    <xdr:from>
      <xdr:col>19</xdr:col>
      <xdr:colOff>179189</xdr:colOff>
      <xdr:row>25</xdr:row>
      <xdr:rowOff>208359</xdr:rowOff>
    </xdr:from>
    <xdr:to>
      <xdr:col>20</xdr:col>
      <xdr:colOff>226814</xdr:colOff>
      <xdr:row>28</xdr:row>
      <xdr:rowOff>133943</xdr:rowOff>
    </xdr:to>
    <xdr:sp macro="" textlink="$AF$30">
      <xdr:nvSpPr>
        <xdr:cNvPr id="29" name="TextBox 28">
          <a:extLst>
            <a:ext uri="{FF2B5EF4-FFF2-40B4-BE49-F238E27FC236}">
              <a16:creationId xmlns:a16="http://schemas.microsoft.com/office/drawing/2014/main" id="{00000000-0008-0000-0000-00001D000000}"/>
            </a:ext>
          </a:extLst>
        </xdr:cNvPr>
        <xdr:cNvSpPr txBox="1"/>
      </xdr:nvSpPr>
      <xdr:spPr>
        <a:xfrm rot="16200000">
          <a:off x="5655172" y="5848051"/>
          <a:ext cx="55423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4F710C8-3807-481F-A8B1-9E402650DC1D}" type="TxLink">
            <a:rPr lang="en-US" sz="1100" b="0" i="0" u="none" strike="noStrike">
              <a:solidFill>
                <a:srgbClr val="000000"/>
              </a:solidFill>
              <a:latin typeface="Calibri"/>
            </a:rPr>
            <a:pPr algn="ctr"/>
            <a:t> </a:t>
          </a:fld>
          <a:endParaRPr lang="en-GB" sz="1100" b="0">
            <a:solidFill>
              <a:schemeClr val="tx1"/>
            </a:solidFill>
          </a:endParaRPr>
        </a:p>
      </xdr:txBody>
    </xdr:sp>
    <xdr:clientData/>
  </xdr:twoCellAnchor>
  <xdr:twoCellAnchor>
    <xdr:from>
      <xdr:col>22</xdr:col>
      <xdr:colOff>330994</xdr:colOff>
      <xdr:row>27</xdr:row>
      <xdr:rowOff>171449</xdr:rowOff>
    </xdr:from>
    <xdr:to>
      <xdr:col>24</xdr:col>
      <xdr:colOff>88106</xdr:colOff>
      <xdr:row>29</xdr:row>
      <xdr:rowOff>21431</xdr:rowOff>
    </xdr:to>
    <xdr:sp macro="" textlink="$AF$33">
      <xdr:nvSpPr>
        <xdr:cNvPr id="30" name="TextBox 29">
          <a:extLst>
            <a:ext uri="{FF2B5EF4-FFF2-40B4-BE49-F238E27FC236}">
              <a16:creationId xmlns:a16="http://schemas.microsoft.com/office/drawing/2014/main" id="{00000000-0008-0000-0000-00001E000000}"/>
            </a:ext>
          </a:extLst>
        </xdr:cNvPr>
        <xdr:cNvSpPr txBox="1"/>
      </xdr:nvSpPr>
      <xdr:spPr>
        <a:xfrm>
          <a:off x="6865144" y="6086474"/>
          <a:ext cx="585787" cy="269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5E1F59FB-31B9-4DE1-8AC7-2594D411A943}" type="TxLink">
            <a:rPr lang="en-US" sz="1100" b="0" i="0" u="none" strike="noStrike">
              <a:solidFill>
                <a:srgbClr val="000000"/>
              </a:solidFill>
              <a:latin typeface="Calibri"/>
              <a:ea typeface="+mn-ea"/>
              <a:cs typeface="+mn-cs"/>
            </a:rPr>
            <a:pPr marL="0" indent="0" algn="ctr"/>
            <a:t> </a:t>
          </a:fld>
          <a:endParaRPr lang="en-GB" sz="1100" b="0" i="0" u="none" strike="noStrike">
            <a:solidFill>
              <a:schemeClr val="tx1"/>
            </a:solidFill>
            <a:latin typeface="Calibri"/>
            <a:ea typeface="+mn-ea"/>
            <a:cs typeface="+mn-cs"/>
          </a:endParaRPr>
        </a:p>
      </xdr:txBody>
    </xdr:sp>
    <xdr:clientData/>
  </xdr:twoCellAnchor>
  <xdr:twoCellAnchor>
    <xdr:from>
      <xdr:col>18</xdr:col>
      <xdr:colOff>111919</xdr:colOff>
      <xdr:row>29</xdr:row>
      <xdr:rowOff>76199</xdr:rowOff>
    </xdr:from>
    <xdr:to>
      <xdr:col>19</xdr:col>
      <xdr:colOff>183356</xdr:colOff>
      <xdr:row>30</xdr:row>
      <xdr:rowOff>135731</xdr:rowOff>
    </xdr:to>
    <xdr:sp macro="" textlink="$AF$39">
      <xdr:nvSpPr>
        <xdr:cNvPr id="32" name="TextBox 31">
          <a:extLst>
            <a:ext uri="{FF2B5EF4-FFF2-40B4-BE49-F238E27FC236}">
              <a16:creationId xmlns:a16="http://schemas.microsoft.com/office/drawing/2014/main" id="{00000000-0008-0000-0000-000020000000}"/>
            </a:ext>
          </a:extLst>
        </xdr:cNvPr>
        <xdr:cNvSpPr txBox="1"/>
      </xdr:nvSpPr>
      <xdr:spPr>
        <a:xfrm>
          <a:off x="5217319" y="6410324"/>
          <a:ext cx="585787" cy="269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0AD0042C-E470-44FC-AAE9-D926799840B8}" type="TxLink">
            <a:rPr lang="en-US" sz="1100" b="0" i="0" u="none" strike="noStrike">
              <a:solidFill>
                <a:srgbClr val="000000"/>
              </a:solidFill>
              <a:latin typeface="Calibri"/>
              <a:ea typeface="+mn-ea"/>
              <a:cs typeface="+mn-cs"/>
            </a:rPr>
            <a:pPr marL="0" indent="0" algn="ctr"/>
            <a:t> </a:t>
          </a:fld>
          <a:endParaRPr lang="en-GB" sz="1100" b="0" i="0" u="none" strike="noStrike">
            <a:solidFill>
              <a:schemeClr val="tx1"/>
            </a:solidFill>
            <a:latin typeface="Calibri"/>
            <a:ea typeface="+mn-ea"/>
            <a:cs typeface="+mn-cs"/>
          </a:endParaRPr>
        </a:p>
      </xdr:txBody>
    </xdr:sp>
    <xdr:clientData/>
  </xdr:twoCellAnchor>
  <xdr:twoCellAnchor>
    <xdr:from>
      <xdr:col>22</xdr:col>
      <xdr:colOff>25598</xdr:colOff>
      <xdr:row>30</xdr:row>
      <xdr:rowOff>121443</xdr:rowOff>
    </xdr:from>
    <xdr:to>
      <xdr:col>22</xdr:col>
      <xdr:colOff>294679</xdr:colOff>
      <xdr:row>33</xdr:row>
      <xdr:rowOff>76794</xdr:rowOff>
    </xdr:to>
    <xdr:sp macro="" textlink="$AF$36">
      <xdr:nvSpPr>
        <xdr:cNvPr id="34" name="TextBox 33">
          <a:extLst>
            <a:ext uri="{FF2B5EF4-FFF2-40B4-BE49-F238E27FC236}">
              <a16:creationId xmlns:a16="http://schemas.microsoft.com/office/drawing/2014/main" id="{00000000-0008-0000-0000-000022000000}"/>
            </a:ext>
          </a:extLst>
        </xdr:cNvPr>
        <xdr:cNvSpPr txBox="1"/>
      </xdr:nvSpPr>
      <xdr:spPr>
        <a:xfrm rot="16200000">
          <a:off x="6402288" y="6822578"/>
          <a:ext cx="584001"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467AF13F-4F68-4667-A466-6E7A91D739B7}" type="TxLink">
            <a:rPr lang="en-US" sz="1100" b="0" i="0" u="none" strike="noStrike">
              <a:solidFill>
                <a:srgbClr val="000000"/>
              </a:solidFill>
              <a:latin typeface="Calibri"/>
            </a:rPr>
            <a:pPr algn="ctr"/>
            <a:t> </a:t>
          </a:fld>
          <a:endParaRPr lang="en-GB" sz="1100" b="0">
            <a:solidFill>
              <a:schemeClr val="tx1"/>
            </a:solidFill>
          </a:endParaRPr>
        </a:p>
      </xdr:txBody>
    </xdr:sp>
    <xdr:clientData/>
  </xdr:twoCellAnchor>
  <xdr:twoCellAnchor>
    <xdr:from>
      <xdr:col>18</xdr:col>
      <xdr:colOff>476251</xdr:colOff>
      <xdr:row>28</xdr:row>
      <xdr:rowOff>76200</xdr:rowOff>
    </xdr:from>
    <xdr:to>
      <xdr:col>19</xdr:col>
      <xdr:colOff>45118</xdr:colOff>
      <xdr:row>28</xdr:row>
      <xdr:rowOff>76200</xdr:rowOff>
    </xdr:to>
    <xdr:cxnSp macro="">
      <xdr:nvCxnSpPr>
        <xdr:cNvPr id="38" name="Straight Connector 37">
          <a:extLst>
            <a:ext uri="{FF2B5EF4-FFF2-40B4-BE49-F238E27FC236}">
              <a16:creationId xmlns:a16="http://schemas.microsoft.com/office/drawing/2014/main" id="{00000000-0008-0000-0000-000026000000}"/>
            </a:ext>
          </a:extLst>
        </xdr:cNvPr>
        <xdr:cNvCxnSpPr/>
      </xdr:nvCxnSpPr>
      <xdr:spPr>
        <a:xfrm flipH="1">
          <a:off x="5581651" y="6200775"/>
          <a:ext cx="8321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105276</xdr:colOff>
      <xdr:row>30</xdr:row>
      <xdr:rowOff>176463</xdr:rowOff>
    </xdr:from>
    <xdr:to>
      <xdr:col>23</xdr:col>
      <xdr:colOff>190499</xdr:colOff>
      <xdr:row>30</xdr:row>
      <xdr:rowOff>176463</xdr:rowOff>
    </xdr:to>
    <xdr:cxnSp macro="">
      <xdr:nvCxnSpPr>
        <xdr:cNvPr id="42" name="Straight Connector 41">
          <a:extLst>
            <a:ext uri="{FF2B5EF4-FFF2-40B4-BE49-F238E27FC236}">
              <a16:creationId xmlns:a16="http://schemas.microsoft.com/office/drawing/2014/main" id="{00000000-0008-0000-0000-00002A000000}"/>
            </a:ext>
          </a:extLst>
        </xdr:cNvPr>
        <xdr:cNvCxnSpPr/>
      </xdr:nvCxnSpPr>
      <xdr:spPr>
        <a:xfrm flipH="1">
          <a:off x="7087101" y="6720138"/>
          <a:ext cx="8522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345907</xdr:colOff>
      <xdr:row>27</xdr:row>
      <xdr:rowOff>91240</xdr:rowOff>
    </xdr:from>
    <xdr:to>
      <xdr:col>22</xdr:col>
      <xdr:colOff>345907</xdr:colOff>
      <xdr:row>27</xdr:row>
      <xdr:rowOff>166438</xdr:rowOff>
    </xdr:to>
    <xdr:cxnSp macro="">
      <xdr:nvCxnSpPr>
        <xdr:cNvPr id="44" name="Straight Connector 43">
          <a:extLst>
            <a:ext uri="{FF2B5EF4-FFF2-40B4-BE49-F238E27FC236}">
              <a16:creationId xmlns:a16="http://schemas.microsoft.com/office/drawing/2014/main" id="{00000000-0008-0000-0000-00002C000000}"/>
            </a:ext>
          </a:extLst>
        </xdr:cNvPr>
        <xdr:cNvCxnSpPr/>
      </xdr:nvCxnSpPr>
      <xdr:spPr>
        <a:xfrm flipV="1">
          <a:off x="6880057" y="6006265"/>
          <a:ext cx="0" cy="7519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190500</xdr:colOff>
      <xdr:row>31</xdr:row>
      <xdr:rowOff>136358</xdr:rowOff>
    </xdr:from>
    <xdr:to>
      <xdr:col>19</xdr:col>
      <xdr:colOff>190500</xdr:colOff>
      <xdr:row>32</xdr:row>
      <xdr:rowOff>2006</xdr:rowOff>
    </xdr:to>
    <xdr:cxnSp macro="">
      <xdr:nvCxnSpPr>
        <xdr:cNvPr id="47" name="Straight Connector 46">
          <a:extLst>
            <a:ext uri="{FF2B5EF4-FFF2-40B4-BE49-F238E27FC236}">
              <a16:creationId xmlns:a16="http://schemas.microsoft.com/office/drawing/2014/main" id="{00000000-0008-0000-0000-00002F000000}"/>
            </a:ext>
          </a:extLst>
        </xdr:cNvPr>
        <xdr:cNvCxnSpPr/>
      </xdr:nvCxnSpPr>
      <xdr:spPr>
        <a:xfrm flipV="1">
          <a:off x="5810250" y="6889583"/>
          <a:ext cx="0" cy="7519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165434</xdr:colOff>
      <xdr:row>24</xdr:row>
      <xdr:rowOff>76200</xdr:rowOff>
    </xdr:from>
    <xdr:to>
      <xdr:col>26</xdr:col>
      <xdr:colOff>165434</xdr:colOff>
      <xdr:row>26</xdr:row>
      <xdr:rowOff>186490</xdr:rowOff>
    </xdr:to>
    <xdr:cxnSp macro="">
      <xdr:nvCxnSpPr>
        <xdr:cNvPr id="49" name="Straight Arrow Connector 48">
          <a:extLst>
            <a:ext uri="{FF2B5EF4-FFF2-40B4-BE49-F238E27FC236}">
              <a16:creationId xmlns:a16="http://schemas.microsoft.com/office/drawing/2014/main" id="{00000000-0008-0000-0000-000031000000}"/>
            </a:ext>
          </a:extLst>
        </xdr:cNvPr>
        <xdr:cNvCxnSpPr/>
      </xdr:nvCxnSpPr>
      <xdr:spPr>
        <a:xfrm flipV="1">
          <a:off x="8023559" y="5362575"/>
          <a:ext cx="0" cy="52939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266480</xdr:colOff>
      <xdr:row>24</xdr:row>
      <xdr:rowOff>61661</xdr:rowOff>
    </xdr:from>
    <xdr:to>
      <xdr:col>26</xdr:col>
      <xdr:colOff>222929</xdr:colOff>
      <xdr:row>27</xdr:row>
      <xdr:rowOff>68583</xdr:rowOff>
    </xdr:to>
    <xdr:sp macro="" textlink="">
      <xdr:nvSpPr>
        <xdr:cNvPr id="50" name="TextBox 49">
          <a:extLst>
            <a:ext uri="{FF2B5EF4-FFF2-40B4-BE49-F238E27FC236}">
              <a16:creationId xmlns:a16="http://schemas.microsoft.com/office/drawing/2014/main" id="{00000000-0008-0000-0000-000032000000}"/>
            </a:ext>
          </a:extLst>
        </xdr:cNvPr>
        <xdr:cNvSpPr txBox="1"/>
      </xdr:nvSpPr>
      <xdr:spPr>
        <a:xfrm rot="16200000">
          <a:off x="7627881" y="5530435"/>
          <a:ext cx="635572" cy="270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l-PL" sz="1100" b="0" i="0" u="none" strike="noStrike">
              <a:solidFill>
                <a:schemeClr val="tx1"/>
              </a:solidFill>
              <a:latin typeface="Calibri"/>
            </a:rPr>
            <a:t>NORTH</a:t>
          </a:r>
        </a:p>
      </xdr:txBody>
    </xdr:sp>
    <xdr:clientData/>
  </xdr:twoCellAnchor>
  <xdr:twoCellAnchor editAs="oneCell">
    <xdr:from>
      <xdr:col>18</xdr:col>
      <xdr:colOff>114300</xdr:colOff>
      <xdr:row>10</xdr:row>
      <xdr:rowOff>133350</xdr:rowOff>
    </xdr:from>
    <xdr:to>
      <xdr:col>24</xdr:col>
      <xdr:colOff>146008</xdr:colOff>
      <xdr:row>19</xdr:row>
      <xdr:rowOff>119400</xdr:rowOff>
    </xdr:to>
    <xdr:pic>
      <xdr:nvPicPr>
        <xdr:cNvPr id="69" name="Picture_4">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19700" y="2486025"/>
          <a:ext cx="2289133" cy="187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114300</xdr:colOff>
      <xdr:row>10</xdr:row>
      <xdr:rowOff>133350</xdr:rowOff>
    </xdr:from>
    <xdr:to>
      <xdr:col>24</xdr:col>
      <xdr:colOff>145158</xdr:colOff>
      <xdr:row>20</xdr:row>
      <xdr:rowOff>125850</xdr:rowOff>
    </xdr:to>
    <xdr:pic>
      <xdr:nvPicPr>
        <xdr:cNvPr id="65" name="Picture_3" hidden="1">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219700" y="2486025"/>
          <a:ext cx="2288283" cy="20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38100</xdr:colOff>
      <xdr:row>11</xdr:row>
      <xdr:rowOff>200025</xdr:rowOff>
    </xdr:from>
    <xdr:to>
      <xdr:col>24</xdr:col>
      <xdr:colOff>136229</xdr:colOff>
      <xdr:row>19</xdr:row>
      <xdr:rowOff>71625</xdr:rowOff>
    </xdr:to>
    <xdr:pic>
      <xdr:nvPicPr>
        <xdr:cNvPr id="68" name="Picture_2" hidden="1">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5143500" y="2762250"/>
          <a:ext cx="2355554" cy="154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34</xdr:col>
          <xdr:colOff>66675</xdr:colOff>
          <xdr:row>3</xdr:row>
          <xdr:rowOff>76200</xdr:rowOff>
        </xdr:from>
        <xdr:to>
          <xdr:col>35</xdr:col>
          <xdr:colOff>619125</xdr:colOff>
          <xdr:row>4</xdr:row>
          <xdr:rowOff>200025</xdr:rowOff>
        </xdr:to>
        <xdr:sp macro="" textlink="">
          <xdr:nvSpPr>
            <xdr:cNvPr id="1040" name="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1" i="0" u="none" strike="noStrike" baseline="0">
                  <a:solidFill>
                    <a:srgbClr val="000000"/>
                  </a:solidFill>
                  <a:latin typeface="Arial CE"/>
                  <a:cs typeface="Arial CE"/>
                </a:rPr>
                <a:t>Print Me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34</xdr:col>
          <xdr:colOff>19050</xdr:colOff>
          <xdr:row>3</xdr:row>
          <xdr:rowOff>19050</xdr:rowOff>
        </xdr:from>
        <xdr:to>
          <xdr:col>35</xdr:col>
          <xdr:colOff>676275</xdr:colOff>
          <xdr:row>5</xdr:row>
          <xdr:rowOff>0</xdr:rowOff>
        </xdr:to>
        <xdr:sp macro="" textlink="">
          <xdr:nvSpPr>
            <xdr:cNvPr id="1041" name="Group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16</xdr:col>
      <xdr:colOff>226219</xdr:colOff>
      <xdr:row>15</xdr:row>
      <xdr:rowOff>190499</xdr:rowOff>
    </xdr:from>
    <xdr:to>
      <xdr:col>18</xdr:col>
      <xdr:colOff>183356</xdr:colOff>
      <xdr:row>17</xdr:row>
      <xdr:rowOff>40481</xdr:rowOff>
    </xdr:to>
    <xdr:sp macro="" textlink="$AG$20">
      <xdr:nvSpPr>
        <xdr:cNvPr id="54" name="TextBox 53">
          <a:extLst>
            <a:ext uri="{FF2B5EF4-FFF2-40B4-BE49-F238E27FC236}">
              <a16:creationId xmlns:a16="http://schemas.microsoft.com/office/drawing/2014/main" id="{00000000-0008-0000-0000-000036000000}"/>
            </a:ext>
          </a:extLst>
        </xdr:cNvPr>
        <xdr:cNvSpPr txBox="1"/>
      </xdr:nvSpPr>
      <xdr:spPr>
        <a:xfrm>
          <a:off x="4702969" y="3590924"/>
          <a:ext cx="585787" cy="269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r"/>
          <a:fld id="{249F74E7-C558-4B2F-9EB1-4E68F92AE1CE}" type="TxLink">
            <a:rPr lang="en-US" sz="1100" b="0" i="0" u="none" strike="noStrike">
              <a:solidFill>
                <a:srgbClr val="000000"/>
              </a:solidFill>
              <a:latin typeface="Calibri"/>
              <a:ea typeface="+mn-ea"/>
              <a:cs typeface="+mn-cs"/>
            </a:rPr>
            <a:pPr marL="0" indent="0" algn="r"/>
            <a:t>0.5</a:t>
          </a:fld>
          <a:endParaRPr lang="en-GB" sz="1100" b="0" i="0" u="none" strike="noStrike">
            <a:solidFill>
              <a:schemeClr val="tx1"/>
            </a:solidFill>
            <a:latin typeface="Calibri"/>
            <a:ea typeface="+mn-ea"/>
            <a:cs typeface="+mn-cs"/>
          </a:endParaRPr>
        </a:p>
      </xdr:txBody>
    </xdr:sp>
    <xdr:clientData/>
  </xdr:twoCellAnchor>
  <xdr:twoCellAnchor>
    <xdr:from>
      <xdr:col>19</xdr:col>
      <xdr:colOff>150019</xdr:colOff>
      <xdr:row>14</xdr:row>
      <xdr:rowOff>200024</xdr:rowOff>
    </xdr:from>
    <xdr:to>
      <xdr:col>21</xdr:col>
      <xdr:colOff>202406</xdr:colOff>
      <xdr:row>16</xdr:row>
      <xdr:rowOff>50006</xdr:rowOff>
    </xdr:to>
    <xdr:sp macro="" textlink="$AG$21">
      <xdr:nvSpPr>
        <xdr:cNvPr id="55" name="TextBox 54">
          <a:extLst>
            <a:ext uri="{FF2B5EF4-FFF2-40B4-BE49-F238E27FC236}">
              <a16:creationId xmlns:a16="http://schemas.microsoft.com/office/drawing/2014/main" id="{00000000-0008-0000-0000-000037000000}"/>
            </a:ext>
          </a:extLst>
        </xdr:cNvPr>
        <xdr:cNvSpPr txBox="1"/>
      </xdr:nvSpPr>
      <xdr:spPr>
        <a:xfrm>
          <a:off x="5769769" y="3390899"/>
          <a:ext cx="585787" cy="269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fld id="{43CFA014-8DAD-437A-A346-E65983E88A58}" type="TxLink">
            <a:rPr lang="en-US" sz="1100" b="0" i="0" u="none" strike="noStrike">
              <a:solidFill>
                <a:srgbClr val="000000"/>
              </a:solidFill>
              <a:latin typeface="Calibri"/>
              <a:ea typeface="+mn-ea"/>
              <a:cs typeface="+mn-cs"/>
            </a:rPr>
            <a:pPr marL="0" indent="0" algn="l"/>
            <a:t>20.0</a:t>
          </a:fld>
          <a:endParaRPr lang="en-GB" sz="1100" b="0" i="0" u="none" strike="noStrike">
            <a:solidFill>
              <a:schemeClr val="tx1"/>
            </a:solidFill>
            <a:latin typeface="Calibri"/>
            <a:ea typeface="+mn-ea"/>
            <a:cs typeface="+mn-cs"/>
          </a:endParaRPr>
        </a:p>
      </xdr:txBody>
    </xdr:sp>
    <xdr:clientData/>
  </xdr:twoCellAnchor>
  <xdr:twoCellAnchor>
    <xdr:from>
      <xdr:col>21</xdr:col>
      <xdr:colOff>207168</xdr:colOff>
      <xdr:row>13</xdr:row>
      <xdr:rowOff>209549</xdr:rowOff>
    </xdr:from>
    <xdr:to>
      <xdr:col>22</xdr:col>
      <xdr:colOff>411955</xdr:colOff>
      <xdr:row>15</xdr:row>
      <xdr:rowOff>59531</xdr:rowOff>
    </xdr:to>
    <xdr:sp macro="" textlink="$AG$19">
      <xdr:nvSpPr>
        <xdr:cNvPr id="56" name="TextBox 55">
          <a:extLst>
            <a:ext uri="{FF2B5EF4-FFF2-40B4-BE49-F238E27FC236}">
              <a16:creationId xmlns:a16="http://schemas.microsoft.com/office/drawing/2014/main" id="{00000000-0008-0000-0000-000038000000}"/>
            </a:ext>
          </a:extLst>
        </xdr:cNvPr>
        <xdr:cNvSpPr txBox="1"/>
      </xdr:nvSpPr>
      <xdr:spPr>
        <a:xfrm rot="20179381">
          <a:off x="6360318" y="3190874"/>
          <a:ext cx="585787" cy="269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41DF64F6-F62B-409D-98C1-F3063C4A1426}" type="TxLink">
            <a:rPr lang="en-US" sz="1100" b="0" i="0" u="none" strike="noStrike">
              <a:solidFill>
                <a:srgbClr val="000000"/>
              </a:solidFill>
              <a:latin typeface="Calibri"/>
              <a:ea typeface="+mn-ea"/>
              <a:cs typeface="+mn-cs"/>
            </a:rPr>
            <a:pPr marL="0" indent="0" algn="ctr"/>
            <a:t>3.3</a:t>
          </a:fld>
          <a:endParaRPr lang="en-GB" sz="1100" b="0" i="0" u="none" strike="noStrike">
            <a:solidFill>
              <a:schemeClr val="tx1"/>
            </a:solidFill>
            <a:latin typeface="Calibri"/>
            <a:ea typeface="+mn-ea"/>
            <a:cs typeface="+mn-cs"/>
          </a:endParaRPr>
        </a:p>
      </xdr:txBody>
    </xdr:sp>
    <xdr:clientData/>
  </xdr:twoCellAnchor>
  <xdr:twoCellAnchor>
    <xdr:from>
      <xdr:col>20</xdr:col>
      <xdr:colOff>283368</xdr:colOff>
      <xdr:row>16</xdr:row>
      <xdr:rowOff>47624</xdr:rowOff>
    </xdr:from>
    <xdr:to>
      <xdr:col>22</xdr:col>
      <xdr:colOff>173830</xdr:colOff>
      <xdr:row>17</xdr:row>
      <xdr:rowOff>107156</xdr:rowOff>
    </xdr:to>
    <xdr:sp macro="" textlink="$AG$22">
      <xdr:nvSpPr>
        <xdr:cNvPr id="57" name="TextBox 56">
          <a:extLst>
            <a:ext uri="{FF2B5EF4-FFF2-40B4-BE49-F238E27FC236}">
              <a16:creationId xmlns:a16="http://schemas.microsoft.com/office/drawing/2014/main" id="{00000000-0008-0000-0000-000039000000}"/>
            </a:ext>
          </a:extLst>
        </xdr:cNvPr>
        <xdr:cNvSpPr txBox="1"/>
      </xdr:nvSpPr>
      <xdr:spPr>
        <a:xfrm rot="20220223">
          <a:off x="6122193" y="3657599"/>
          <a:ext cx="585787" cy="269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6D01728C-85D7-48BD-9984-82CB3263B22C}" type="TxLink">
            <a:rPr lang="en-US" sz="1100" b="0" i="0" u="none" strike="noStrike">
              <a:solidFill>
                <a:srgbClr val="000000"/>
              </a:solidFill>
              <a:latin typeface="Calibri"/>
              <a:ea typeface="+mn-ea"/>
              <a:cs typeface="+mn-cs"/>
            </a:rPr>
            <a:pPr marL="0" indent="0" algn="ctr"/>
            <a:t> </a:t>
          </a:fld>
          <a:endParaRPr lang="en-GB" sz="1100" b="0" i="0" u="none" strike="noStrike">
            <a:solidFill>
              <a:schemeClr val="tx1"/>
            </a:solidFill>
            <a:latin typeface="Calibri"/>
            <a:ea typeface="+mn-ea"/>
            <a:cs typeface="+mn-cs"/>
          </a:endParaRPr>
        </a:p>
      </xdr:txBody>
    </xdr:sp>
    <xdr:clientData/>
  </xdr:twoCellAnchor>
  <xdr:twoCellAnchor>
    <xdr:from>
      <xdr:col>22</xdr:col>
      <xdr:colOff>435769</xdr:colOff>
      <xdr:row>13</xdr:row>
      <xdr:rowOff>200024</xdr:rowOff>
    </xdr:from>
    <xdr:to>
      <xdr:col>25</xdr:col>
      <xdr:colOff>11906</xdr:colOff>
      <xdr:row>15</xdr:row>
      <xdr:rowOff>50006</xdr:rowOff>
    </xdr:to>
    <xdr:sp macro="" textlink="$AG$23">
      <xdr:nvSpPr>
        <xdr:cNvPr id="58" name="TextBox 57">
          <a:extLst>
            <a:ext uri="{FF2B5EF4-FFF2-40B4-BE49-F238E27FC236}">
              <a16:creationId xmlns:a16="http://schemas.microsoft.com/office/drawing/2014/main" id="{00000000-0008-0000-0000-00003A000000}"/>
            </a:ext>
          </a:extLst>
        </xdr:cNvPr>
        <xdr:cNvSpPr txBox="1"/>
      </xdr:nvSpPr>
      <xdr:spPr>
        <a:xfrm>
          <a:off x="6969919" y="3181349"/>
          <a:ext cx="585787" cy="269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fld id="{DE72234F-5C0C-45E2-A926-165E3A2D9BAA}" type="TxLink">
            <a:rPr lang="en-US" sz="1100" b="0" i="0" u="none" strike="noStrike">
              <a:solidFill>
                <a:srgbClr val="000000"/>
              </a:solidFill>
              <a:latin typeface="Calibri"/>
              <a:ea typeface="+mn-ea"/>
              <a:cs typeface="+mn-cs"/>
            </a:rPr>
            <a:pPr marL="0" indent="0" algn="l"/>
            <a:t> </a:t>
          </a:fld>
          <a:endParaRPr lang="en-GB" sz="1100" b="0" i="0" u="none" strike="noStrike">
            <a:solidFill>
              <a:schemeClr val="tx1"/>
            </a:solidFill>
            <a:latin typeface="Calibri"/>
            <a:ea typeface="+mn-ea"/>
            <a:cs typeface="+mn-cs"/>
          </a:endParaRPr>
        </a:p>
      </xdr:txBody>
    </xdr:sp>
    <xdr:clientData/>
  </xdr:twoCellAnchor>
  <xdr:twoCellAnchor editAs="oneCell">
    <xdr:from>
      <xdr:col>2</xdr:col>
      <xdr:colOff>66676</xdr:colOff>
      <xdr:row>1</xdr:row>
      <xdr:rowOff>133350</xdr:rowOff>
    </xdr:from>
    <xdr:to>
      <xdr:col>3</xdr:col>
      <xdr:colOff>295275</xdr:colOff>
      <xdr:row>3</xdr:row>
      <xdr:rowOff>78001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71476" y="323850"/>
          <a:ext cx="695324" cy="563776"/>
        </a:xfrm>
        <a:prstGeom prst="rect">
          <a:avLst/>
        </a:prstGeom>
      </xdr:spPr>
    </xdr:pic>
    <xdr:clientData/>
  </xdr:twoCellAnchor>
  <xdr:twoCellAnchor>
    <xdr:from>
      <xdr:col>17</xdr:col>
      <xdr:colOff>95250</xdr:colOff>
      <xdr:row>35</xdr:row>
      <xdr:rowOff>142875</xdr:rowOff>
    </xdr:from>
    <xdr:to>
      <xdr:col>25</xdr:col>
      <xdr:colOff>219075</xdr:colOff>
      <xdr:row>35</xdr:row>
      <xdr:rowOff>142875</xdr:rowOff>
    </xdr:to>
    <xdr:cxnSp macro="">
      <xdr:nvCxnSpPr>
        <xdr:cNvPr id="48" name="Straight Arrow Connector 47">
          <a:extLst>
            <a:ext uri="{FF2B5EF4-FFF2-40B4-BE49-F238E27FC236}">
              <a16:creationId xmlns:a16="http://schemas.microsoft.com/office/drawing/2014/main" id="{00000000-0008-0000-0000-000030000000}"/>
            </a:ext>
          </a:extLst>
        </xdr:cNvPr>
        <xdr:cNvCxnSpPr/>
      </xdr:nvCxnSpPr>
      <xdr:spPr>
        <a:xfrm>
          <a:off x="4886325" y="7734300"/>
          <a:ext cx="2876550" cy="0"/>
        </a:xfrm>
        <a:prstGeom prst="straightConnector1">
          <a:avLst/>
        </a:prstGeom>
        <a:ln w="6350" cap="flat" cmpd="sng">
          <a:solidFill>
            <a:schemeClr val="tx1"/>
          </a:solidFill>
          <a:prstDash val="solid"/>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189310</xdr:colOff>
      <xdr:row>34</xdr:row>
      <xdr:rowOff>136921</xdr:rowOff>
    </xdr:from>
    <xdr:to>
      <xdr:col>22</xdr:col>
      <xdr:colOff>38100</xdr:colOff>
      <xdr:row>35</xdr:row>
      <xdr:rowOff>196452</xdr:rowOff>
    </xdr:to>
    <xdr:sp macro="" textlink="$AG$24">
      <xdr:nvSpPr>
        <xdr:cNvPr id="51" name="TextBox 50">
          <a:extLst>
            <a:ext uri="{FF2B5EF4-FFF2-40B4-BE49-F238E27FC236}">
              <a16:creationId xmlns:a16="http://schemas.microsoft.com/office/drawing/2014/main" id="{00000000-0008-0000-0000-000033000000}"/>
            </a:ext>
          </a:extLst>
        </xdr:cNvPr>
        <xdr:cNvSpPr txBox="1"/>
      </xdr:nvSpPr>
      <xdr:spPr>
        <a:xfrm>
          <a:off x="6028135" y="7518796"/>
          <a:ext cx="544115"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fld id="{879397A5-6CDB-4219-B511-B992E402BF64}" type="TxLink">
            <a:rPr lang="en-US" sz="1100" b="0" i="0" u="none" strike="noStrike">
              <a:solidFill>
                <a:srgbClr val="000000"/>
              </a:solidFill>
              <a:latin typeface="Calibri"/>
              <a:ea typeface="+mn-ea"/>
              <a:cs typeface="+mn-cs"/>
            </a:rPr>
            <a:pPr marL="0" indent="0" algn="ctr"/>
            <a:t>12.0</a:t>
          </a:fld>
          <a:endParaRPr lang="en-GB" sz="1100" b="0" i="0" u="none" strike="noStrike">
            <a:solidFill>
              <a:schemeClr val="tx1"/>
            </a:solidFill>
            <a:latin typeface="Calibri"/>
            <a:ea typeface="+mn-ea"/>
            <a:cs typeface="+mn-cs"/>
          </a:endParaRPr>
        </a:p>
      </xdr:txBody>
    </xdr:sp>
    <xdr:clientData/>
  </xdr:twoCellAnchor>
  <xdr:twoCellAnchor>
    <xdr:from>
      <xdr:col>16</xdr:col>
      <xdr:colOff>260615</xdr:colOff>
      <xdr:row>24</xdr:row>
      <xdr:rowOff>200025</xdr:rowOff>
    </xdr:from>
    <xdr:to>
      <xdr:col>16</xdr:col>
      <xdr:colOff>260615</xdr:colOff>
      <xdr:row>34</xdr:row>
      <xdr:rowOff>95250</xdr:rowOff>
    </xdr:to>
    <xdr:cxnSp macro="">
      <xdr:nvCxnSpPr>
        <xdr:cNvPr id="52" name="Straight Arrow Connector 51">
          <a:extLst>
            <a:ext uri="{FF2B5EF4-FFF2-40B4-BE49-F238E27FC236}">
              <a16:creationId xmlns:a16="http://schemas.microsoft.com/office/drawing/2014/main" id="{00000000-0008-0000-0000-000034000000}"/>
            </a:ext>
          </a:extLst>
        </xdr:cNvPr>
        <xdr:cNvCxnSpPr/>
      </xdr:nvCxnSpPr>
      <xdr:spPr>
        <a:xfrm flipV="1">
          <a:off x="4752404" y="5498933"/>
          <a:ext cx="0" cy="2000751"/>
        </a:xfrm>
        <a:prstGeom prst="straightConnector1">
          <a:avLst/>
        </a:prstGeom>
        <a:ln w="6350" cap="flat" cmpd="sng">
          <a:solidFill>
            <a:schemeClr val="tx1"/>
          </a:solidFill>
          <a:prstDash val="solid"/>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38336</xdr:colOff>
      <xdr:row>28</xdr:row>
      <xdr:rowOff>45243</xdr:rowOff>
    </xdr:from>
    <xdr:to>
      <xdr:col>16</xdr:col>
      <xdr:colOff>310112</xdr:colOff>
      <xdr:row>30</xdr:row>
      <xdr:rowOff>180378</xdr:rowOff>
    </xdr:to>
    <xdr:sp macro="" textlink="$AG$25">
      <xdr:nvSpPr>
        <xdr:cNvPr id="59" name="TextBox 58">
          <a:extLst>
            <a:ext uri="{FF2B5EF4-FFF2-40B4-BE49-F238E27FC236}">
              <a16:creationId xmlns:a16="http://schemas.microsoft.com/office/drawing/2014/main" id="{00000000-0008-0000-0000-00003B000000}"/>
            </a:ext>
          </a:extLst>
        </xdr:cNvPr>
        <xdr:cNvSpPr txBox="1"/>
      </xdr:nvSpPr>
      <xdr:spPr>
        <a:xfrm rot="16200000">
          <a:off x="4364892" y="6386687"/>
          <a:ext cx="560958" cy="271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18D824A4-B39D-47F9-9757-0151AF99E3FA}" type="TxLink">
            <a:rPr lang="en-US" sz="1100" b="0" i="0" u="none" strike="noStrike">
              <a:solidFill>
                <a:srgbClr val="000000"/>
              </a:solidFill>
              <a:latin typeface="Calibri"/>
            </a:rPr>
            <a:pPr algn="ctr"/>
            <a:t>11.0</a:t>
          </a:fld>
          <a:endParaRPr lang="en-GB" sz="1100" b="0">
            <a:solidFill>
              <a:schemeClr val="tx1"/>
            </a:solidFill>
          </a:endParaRPr>
        </a:p>
      </xdr:txBody>
    </xdr:sp>
    <xdr:clientData/>
  </xdr:twoCellAnchor>
  <xdr:twoCellAnchor>
    <xdr:from>
      <xdr:col>16</xdr:col>
      <xdr:colOff>217073</xdr:colOff>
      <xdr:row>34</xdr:row>
      <xdr:rowOff>99333</xdr:rowOff>
    </xdr:from>
    <xdr:to>
      <xdr:col>16</xdr:col>
      <xdr:colOff>301794</xdr:colOff>
      <xdr:row>34</xdr:row>
      <xdr:rowOff>99333</xdr:rowOff>
    </xdr:to>
    <xdr:cxnSp macro="">
      <xdr:nvCxnSpPr>
        <xdr:cNvPr id="60" name="Straight Connector 59">
          <a:extLst>
            <a:ext uri="{FF2B5EF4-FFF2-40B4-BE49-F238E27FC236}">
              <a16:creationId xmlns:a16="http://schemas.microsoft.com/office/drawing/2014/main" id="{00000000-0008-0000-0000-00003C000000}"/>
            </a:ext>
          </a:extLst>
        </xdr:cNvPr>
        <xdr:cNvCxnSpPr/>
      </xdr:nvCxnSpPr>
      <xdr:spPr>
        <a:xfrm flipH="1">
          <a:off x="4708862" y="7503767"/>
          <a:ext cx="8472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217073</xdr:colOff>
      <xdr:row>24</xdr:row>
      <xdr:rowOff>194581</xdr:rowOff>
    </xdr:from>
    <xdr:to>
      <xdr:col>16</xdr:col>
      <xdr:colOff>301794</xdr:colOff>
      <xdr:row>24</xdr:row>
      <xdr:rowOff>194581</xdr:rowOff>
    </xdr:to>
    <xdr:cxnSp macro="">
      <xdr:nvCxnSpPr>
        <xdr:cNvPr id="61" name="Straight Connector 60">
          <a:extLst>
            <a:ext uri="{FF2B5EF4-FFF2-40B4-BE49-F238E27FC236}">
              <a16:creationId xmlns:a16="http://schemas.microsoft.com/office/drawing/2014/main" id="{00000000-0008-0000-0000-00003D000000}"/>
            </a:ext>
          </a:extLst>
        </xdr:cNvPr>
        <xdr:cNvCxnSpPr/>
      </xdr:nvCxnSpPr>
      <xdr:spPr>
        <a:xfrm flipH="1">
          <a:off x="4708862" y="5493489"/>
          <a:ext cx="8472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96443</xdr:colOff>
      <xdr:row>35</xdr:row>
      <xdr:rowOff>100311</xdr:rowOff>
    </xdr:from>
    <xdr:to>
      <xdr:col>17</xdr:col>
      <xdr:colOff>96443</xdr:colOff>
      <xdr:row>35</xdr:row>
      <xdr:rowOff>175509</xdr:rowOff>
    </xdr:to>
    <xdr:cxnSp macro="">
      <xdr:nvCxnSpPr>
        <xdr:cNvPr id="62" name="Straight Connector 61">
          <a:extLst>
            <a:ext uri="{FF2B5EF4-FFF2-40B4-BE49-F238E27FC236}">
              <a16:creationId xmlns:a16="http://schemas.microsoft.com/office/drawing/2014/main" id="{00000000-0008-0000-0000-00003E000000}"/>
            </a:ext>
          </a:extLst>
        </xdr:cNvPr>
        <xdr:cNvCxnSpPr/>
      </xdr:nvCxnSpPr>
      <xdr:spPr>
        <a:xfrm flipV="1">
          <a:off x="4872550" y="7670418"/>
          <a:ext cx="0" cy="7519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223443</xdr:colOff>
      <xdr:row>35</xdr:row>
      <xdr:rowOff>100311</xdr:rowOff>
    </xdr:from>
    <xdr:to>
      <xdr:col>25</xdr:col>
      <xdr:colOff>223443</xdr:colOff>
      <xdr:row>35</xdr:row>
      <xdr:rowOff>175509</xdr:rowOff>
    </xdr:to>
    <xdr:cxnSp macro="">
      <xdr:nvCxnSpPr>
        <xdr:cNvPr id="63" name="Straight Connector 62">
          <a:extLst>
            <a:ext uri="{FF2B5EF4-FFF2-40B4-BE49-F238E27FC236}">
              <a16:creationId xmlns:a16="http://schemas.microsoft.com/office/drawing/2014/main" id="{00000000-0008-0000-0000-00003F000000}"/>
            </a:ext>
          </a:extLst>
        </xdr:cNvPr>
        <xdr:cNvCxnSpPr/>
      </xdr:nvCxnSpPr>
      <xdr:spPr>
        <a:xfrm flipV="1">
          <a:off x="7748193" y="7670418"/>
          <a:ext cx="0" cy="7519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34</xdr:col>
      <xdr:colOff>28575</xdr:colOff>
      <xdr:row>16</xdr:row>
      <xdr:rowOff>0</xdr:rowOff>
    </xdr:from>
    <xdr:to>
      <xdr:col>37</xdr:col>
      <xdr:colOff>200025</xdr:colOff>
      <xdr:row>25</xdr:row>
      <xdr:rowOff>28575</xdr:rowOff>
    </xdr:to>
    <xdr:sp macro="" textlink="">
      <xdr:nvSpPr>
        <xdr:cNvPr id="64" name="TextBox 63">
          <a:extLst>
            <a:ext uri="{FF2B5EF4-FFF2-40B4-BE49-F238E27FC236}">
              <a16:creationId xmlns:a16="http://schemas.microsoft.com/office/drawing/2014/main" id="{00000000-0008-0000-0000-000040000000}"/>
            </a:ext>
          </a:extLst>
        </xdr:cNvPr>
        <xdr:cNvSpPr txBox="1"/>
      </xdr:nvSpPr>
      <xdr:spPr>
        <a:xfrm>
          <a:off x="8610600" y="3609975"/>
          <a:ext cx="2428875" cy="1914525"/>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GB" sz="1100" b="1">
              <a:solidFill>
                <a:srgbClr val="FF0000"/>
              </a:solidFill>
            </a:rPr>
            <a:t>NOTE 1: </a:t>
          </a:r>
          <a:r>
            <a:rPr lang="en-GB" sz="1100" b="1">
              <a:solidFill>
                <a:srgbClr val="0000CC"/>
              </a:solidFill>
            </a:rPr>
            <a:t>YOU HAVE TO ENABLE</a:t>
          </a:r>
          <a:r>
            <a:rPr lang="en-GB" sz="1100" b="1" baseline="0">
              <a:solidFill>
                <a:srgbClr val="0000CC"/>
              </a:solidFill>
            </a:rPr>
            <a:t> MACROS TO </a:t>
          </a:r>
          <a:r>
            <a:rPr lang="pl-PL" sz="1100" b="1" baseline="0">
              <a:solidFill>
                <a:srgbClr val="0000CC"/>
              </a:solidFill>
            </a:rPr>
            <a:t>CHANGE PV PANEL TYPE ETC.</a:t>
          </a:r>
        </a:p>
        <a:p>
          <a:endParaRPr lang="en-GB" sz="1100" b="1">
            <a:solidFill>
              <a:srgbClr val="FF0000"/>
            </a:solidFill>
          </a:endParaRPr>
        </a:p>
        <a:p>
          <a:r>
            <a:rPr lang="en-GB" sz="1100" b="1">
              <a:solidFill>
                <a:srgbClr val="FF0000"/>
              </a:solidFill>
            </a:rPr>
            <a:t>NOTE 2: </a:t>
          </a:r>
          <a:r>
            <a:rPr lang="en-GB" sz="1100">
              <a:solidFill>
                <a:schemeClr val="dk1"/>
              </a:solidFill>
              <a:effectLst/>
              <a:latin typeface="+mn-lt"/>
              <a:ea typeface="+mn-ea"/>
              <a:cs typeface="+mn-cs"/>
            </a:rPr>
            <a:t>In this </a:t>
          </a:r>
          <a:r>
            <a:rPr lang="pl-PL" sz="1100">
              <a:solidFill>
                <a:schemeClr val="dk1"/>
              </a:solidFill>
              <a:effectLst/>
              <a:latin typeface="+mn-lt"/>
              <a:ea typeface="+mn-ea"/>
              <a:cs typeface="+mn-cs"/>
            </a:rPr>
            <a:t>FREE L</a:t>
          </a:r>
          <a:r>
            <a:rPr lang="en-GB" sz="1100">
              <a:solidFill>
                <a:schemeClr val="dk1"/>
              </a:solidFill>
              <a:effectLst/>
              <a:latin typeface="+mn-lt"/>
              <a:ea typeface="+mn-ea"/>
              <a:cs typeface="+mn-cs"/>
            </a:rPr>
            <a:t>ite version you cannot change the company logo nor company information. Also, cells marked with this colour</a:t>
          </a:r>
          <a:r>
            <a:rPr lang="en-GB" sz="1100" baseline="0">
              <a:solidFill>
                <a:schemeClr val="dk1"/>
              </a:solidFill>
              <a:effectLst/>
              <a:latin typeface="+mn-lt"/>
              <a:ea typeface="+mn-ea"/>
              <a:cs typeface="+mn-cs"/>
            </a:rPr>
            <a:t> are locked:</a:t>
          </a:r>
          <a:endParaRPr lang="en-GB">
            <a:effectLst/>
          </a:endParaRPr>
        </a:p>
      </xdr:txBody>
    </xdr:sp>
    <xdr:clientData/>
  </xdr:twoCellAnchor>
  <xdr:twoCellAnchor>
    <xdr:from>
      <xdr:col>34</xdr:col>
      <xdr:colOff>125034</xdr:colOff>
      <xdr:row>23</xdr:row>
      <xdr:rowOff>3553</xdr:rowOff>
    </xdr:from>
    <xdr:to>
      <xdr:col>35</xdr:col>
      <xdr:colOff>337608</xdr:colOff>
      <xdr:row>24</xdr:row>
      <xdr:rowOff>85046</xdr:rowOff>
    </xdr:to>
    <xdr:sp macro="" textlink="">
      <xdr:nvSpPr>
        <xdr:cNvPr id="66" name="Rectangle 65">
          <a:extLst>
            <a:ext uri="{FF2B5EF4-FFF2-40B4-BE49-F238E27FC236}">
              <a16:creationId xmlns:a16="http://schemas.microsoft.com/office/drawing/2014/main" id="{00000000-0008-0000-0000-000042000000}"/>
            </a:ext>
          </a:extLst>
        </xdr:cNvPr>
        <xdr:cNvSpPr/>
      </xdr:nvSpPr>
      <xdr:spPr>
        <a:xfrm>
          <a:off x="8707059" y="5080378"/>
          <a:ext cx="755499" cy="291043"/>
        </a:xfrm>
        <a:prstGeom prst="rect">
          <a:avLst/>
        </a:prstGeom>
        <a:solidFill>
          <a:srgbClr val="CCFF33"/>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35</xdr:col>
      <xdr:colOff>423333</xdr:colOff>
      <xdr:row>23</xdr:row>
      <xdr:rowOff>22604</xdr:rowOff>
    </xdr:from>
    <xdr:to>
      <xdr:col>36</xdr:col>
      <xdr:colOff>239183</xdr:colOff>
      <xdr:row>24</xdr:row>
      <xdr:rowOff>65996</xdr:rowOff>
    </xdr:to>
    <xdr:sp macro="" textlink="">
      <xdr:nvSpPr>
        <xdr:cNvPr id="67" name="TextBox 66">
          <a:extLst>
            <a:ext uri="{FF2B5EF4-FFF2-40B4-BE49-F238E27FC236}">
              <a16:creationId xmlns:a16="http://schemas.microsoft.com/office/drawing/2014/main" id="{00000000-0008-0000-0000-000043000000}"/>
            </a:ext>
          </a:extLst>
        </xdr:cNvPr>
        <xdr:cNvSpPr txBox="1"/>
      </xdr:nvSpPr>
      <xdr:spPr>
        <a:xfrm>
          <a:off x="9548283" y="5099429"/>
          <a:ext cx="920750" cy="252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t>LOCKED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yourspreadsheets.co.uk/checkout.html" TargetMode="External"/><Relationship Id="rId2" Type="http://schemas.openxmlformats.org/officeDocument/2006/relationships/hyperlink" Target="mailto:info@yourspreadsheets.co.uk" TargetMode="External"/><Relationship Id="rId1" Type="http://schemas.openxmlformats.org/officeDocument/2006/relationships/hyperlink" Target="http://www.yourspreadsheets.co.uk/"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61"/>
  <sheetViews>
    <sheetView showGridLines="0" zoomScaleNormal="100" workbookViewId="0">
      <selection activeCell="E5" sqref="E5:P5"/>
    </sheetView>
  </sheetViews>
  <sheetFormatPr defaultRowHeight="15"/>
  <cols>
    <col min="1" max="1" width="2.5703125" style="46" customWidth="1"/>
    <col min="2" max="2" width="2" style="46" customWidth="1"/>
    <col min="3" max="3" width="7" style="46" customWidth="1"/>
    <col min="4" max="7" width="4.7109375" style="46" customWidth="1"/>
    <col min="8" max="8" width="3.7109375" style="46" customWidth="1"/>
    <col min="9" max="9" width="5.42578125" style="46" customWidth="1"/>
    <col min="10" max="10" width="3.42578125" style="46" customWidth="1"/>
    <col min="11" max="11" width="3.28515625" style="46" customWidth="1"/>
    <col min="12" max="12" width="3.42578125" style="46" customWidth="1"/>
    <col min="13" max="15" width="4.7109375" style="46" customWidth="1"/>
    <col min="16" max="16" width="3.28515625" style="46" customWidth="1"/>
    <col min="17" max="18" width="4.7109375" style="46" customWidth="1"/>
    <col min="19" max="19" width="7.7109375" style="46" customWidth="1"/>
    <col min="20" max="20" width="3.28515625" style="46" customWidth="1"/>
    <col min="21" max="21" width="4.7109375" style="46" customWidth="1"/>
    <col min="22" max="22" width="5.7109375" style="46" customWidth="1"/>
    <col min="23" max="23" width="6.7109375" style="46" customWidth="1"/>
    <col min="24" max="24" width="5.7109375" style="46" customWidth="1"/>
    <col min="25" max="25" width="2.7109375" style="46" customWidth="1"/>
    <col min="26" max="27" width="4.7109375" style="46" customWidth="1"/>
    <col min="28" max="28" width="2" style="46" customWidth="1"/>
    <col min="29" max="29" width="7.7109375" style="46" hidden="1" customWidth="1"/>
    <col min="30" max="30" width="10.140625" style="46" hidden="1" customWidth="1"/>
    <col min="31" max="31" width="10.85546875" style="46" hidden="1" customWidth="1"/>
    <col min="32" max="33" width="10.7109375" style="46" hidden="1" customWidth="1"/>
    <col min="34" max="34" width="4.140625" style="46" customWidth="1"/>
    <col min="35" max="35" width="8.140625" style="46" customWidth="1"/>
    <col min="36" max="36" width="16.5703125" style="46" customWidth="1"/>
    <col min="37" max="16384" width="9.140625" style="46"/>
  </cols>
  <sheetData>
    <row r="1" spans="1:36">
      <c r="A1" s="45"/>
      <c r="B1" s="251" t="s">
        <v>215</v>
      </c>
      <c r="C1" s="251"/>
      <c r="D1" s="251"/>
      <c r="E1" s="251"/>
      <c r="F1" s="251"/>
      <c r="G1" s="251"/>
      <c r="H1" s="251"/>
      <c r="I1" s="251"/>
      <c r="J1" s="251"/>
      <c r="K1" s="251"/>
      <c r="L1" s="251"/>
      <c r="M1" s="251"/>
      <c r="N1" s="251"/>
      <c r="O1" s="251"/>
      <c r="P1" s="251"/>
      <c r="Q1" s="251"/>
      <c r="R1" s="251"/>
      <c r="S1" s="252" t="s">
        <v>209</v>
      </c>
      <c r="T1" s="252"/>
      <c r="U1" s="252"/>
      <c r="V1" s="252"/>
      <c r="W1" s="252"/>
      <c r="X1" s="252"/>
      <c r="Y1" s="252"/>
      <c r="Z1" s="252"/>
      <c r="AA1" s="252"/>
      <c r="AB1" s="252"/>
      <c r="AD1" s="54"/>
      <c r="AE1" s="54"/>
      <c r="AF1" s="54"/>
      <c r="AG1" s="54"/>
      <c r="AH1" s="54"/>
      <c r="AI1" s="54"/>
    </row>
    <row r="2" spans="1:36" ht="29.25" customHeight="1">
      <c r="B2" s="17"/>
      <c r="C2" s="18"/>
      <c r="D2" s="18"/>
      <c r="E2" s="253" t="s">
        <v>199</v>
      </c>
      <c r="F2" s="254"/>
      <c r="G2" s="254"/>
      <c r="H2" s="254"/>
      <c r="I2" s="254"/>
      <c r="J2" s="254"/>
      <c r="K2" s="254"/>
      <c r="L2" s="254"/>
      <c r="M2" s="254"/>
      <c r="N2" s="254"/>
      <c r="O2" s="254"/>
      <c r="P2" s="255"/>
      <c r="Q2" s="291" t="s">
        <v>200</v>
      </c>
      <c r="R2" s="292"/>
      <c r="S2" s="292"/>
      <c r="T2" s="292"/>
      <c r="U2" s="292"/>
      <c r="V2" s="292"/>
      <c r="W2" s="293"/>
      <c r="X2" s="293"/>
      <c r="Y2" s="294"/>
      <c r="Z2" s="294"/>
      <c r="AA2" s="294"/>
      <c r="AB2" s="295"/>
      <c r="AC2" s="47"/>
      <c r="AD2" s="55"/>
      <c r="AE2" s="54"/>
      <c r="AF2" s="54"/>
      <c r="AG2" s="50" t="s">
        <v>106</v>
      </c>
      <c r="AH2" s="54"/>
      <c r="AI2" s="54"/>
    </row>
    <row r="3" spans="1:36" ht="19.5" customHeight="1">
      <c r="B3" s="19"/>
      <c r="C3" s="20"/>
      <c r="D3" s="20"/>
      <c r="E3" s="256"/>
      <c r="F3" s="256"/>
      <c r="G3" s="256"/>
      <c r="H3" s="256"/>
      <c r="I3" s="256"/>
      <c r="J3" s="256"/>
      <c r="K3" s="256"/>
      <c r="L3" s="256"/>
      <c r="M3" s="256"/>
      <c r="N3" s="256"/>
      <c r="O3" s="256"/>
      <c r="P3" s="257"/>
      <c r="Q3" s="296"/>
      <c r="R3" s="297"/>
      <c r="S3" s="297"/>
      <c r="T3" s="297"/>
      <c r="U3" s="297"/>
      <c r="V3" s="297"/>
      <c r="W3" s="260" t="s">
        <v>90</v>
      </c>
      <c r="X3" s="261"/>
      <c r="Y3" s="298" t="s">
        <v>4</v>
      </c>
      <c r="Z3" s="299"/>
      <c r="AA3" s="299"/>
      <c r="AB3" s="300"/>
      <c r="AC3" s="48"/>
      <c r="AD3" s="56" t="s">
        <v>67</v>
      </c>
      <c r="AE3" s="56">
        <f>IF(C8=AG3,20,0)</f>
        <v>0</v>
      </c>
      <c r="AF3" s="54"/>
      <c r="AG3" s="46" t="s">
        <v>109</v>
      </c>
      <c r="AI3" s="54"/>
    </row>
    <row r="4" spans="1:36" ht="19.5" customHeight="1">
      <c r="B4" s="19"/>
      <c r="C4" s="21"/>
      <c r="D4" s="21"/>
      <c r="E4" s="258"/>
      <c r="F4" s="258"/>
      <c r="G4" s="258"/>
      <c r="H4" s="258"/>
      <c r="I4" s="258"/>
      <c r="J4" s="258"/>
      <c r="K4" s="258"/>
      <c r="L4" s="258"/>
      <c r="M4" s="258"/>
      <c r="N4" s="258"/>
      <c r="O4" s="258"/>
      <c r="P4" s="259"/>
      <c r="Q4" s="260" t="s">
        <v>91</v>
      </c>
      <c r="R4" s="262"/>
      <c r="S4" s="262"/>
      <c r="T4" s="301">
        <v>22668</v>
      </c>
      <c r="U4" s="302"/>
      <c r="V4" s="303"/>
      <c r="W4" s="263" t="s">
        <v>92</v>
      </c>
      <c r="X4" s="261"/>
      <c r="Y4" s="298" t="s">
        <v>93</v>
      </c>
      <c r="Z4" s="299"/>
      <c r="AA4" s="299"/>
      <c r="AB4" s="300"/>
      <c r="AD4" s="54" t="s">
        <v>33</v>
      </c>
      <c r="AE4" s="54" t="str">
        <f>IF(C8=AG4,Calculations!O11,Calculations!O10)</f>
        <v>Fixed</v>
      </c>
      <c r="AF4" s="54"/>
      <c r="AG4" s="46" t="s">
        <v>107</v>
      </c>
      <c r="AI4" s="54"/>
    </row>
    <row r="5" spans="1:36" ht="19.5" customHeight="1">
      <c r="B5" s="22"/>
      <c r="C5" s="264" t="s">
        <v>94</v>
      </c>
      <c r="D5" s="265"/>
      <c r="E5" s="304" t="s">
        <v>95</v>
      </c>
      <c r="F5" s="305"/>
      <c r="G5" s="305"/>
      <c r="H5" s="305"/>
      <c r="I5" s="305"/>
      <c r="J5" s="305"/>
      <c r="K5" s="305"/>
      <c r="L5" s="305"/>
      <c r="M5" s="305"/>
      <c r="N5" s="305"/>
      <c r="O5" s="305"/>
      <c r="P5" s="306"/>
      <c r="Q5" s="263" t="s">
        <v>96</v>
      </c>
      <c r="R5" s="266"/>
      <c r="S5" s="262"/>
      <c r="T5" s="307" t="s">
        <v>97</v>
      </c>
      <c r="U5" s="308"/>
      <c r="V5" s="309"/>
      <c r="W5" s="263" t="s">
        <v>98</v>
      </c>
      <c r="X5" s="261"/>
      <c r="Y5" s="310">
        <f ca="1">TODAY()</f>
        <v>43786</v>
      </c>
      <c r="Z5" s="311"/>
      <c r="AA5" s="311"/>
      <c r="AB5" s="312"/>
      <c r="AD5" s="54" t="s">
        <v>60</v>
      </c>
      <c r="AE5" s="54">
        <f>IF(PVType="Fixed", 0.25,
IF(PVType="Ballasted", 1,
"PV TYPE INVALID"))</f>
        <v>0.25</v>
      </c>
      <c r="AF5" s="54"/>
      <c r="AG5" s="46" t="s">
        <v>108</v>
      </c>
      <c r="AH5" s="57"/>
      <c r="AI5" s="54"/>
    </row>
    <row r="6" spans="1:36" ht="17.100000000000001" customHeight="1">
      <c r="B6" s="23"/>
      <c r="C6" s="24"/>
      <c r="D6" s="24"/>
      <c r="E6" s="25"/>
      <c r="F6" s="25"/>
      <c r="G6" s="25"/>
      <c r="H6" s="25"/>
      <c r="I6" s="25"/>
      <c r="J6" s="25"/>
      <c r="K6" s="25"/>
      <c r="L6" s="25"/>
      <c r="M6" s="25"/>
      <c r="N6" s="25"/>
      <c r="O6" s="25"/>
      <c r="P6" s="25"/>
      <c r="Q6" s="25"/>
      <c r="R6" s="25"/>
      <c r="S6" s="25"/>
      <c r="T6" s="25"/>
      <c r="U6" s="25"/>
      <c r="V6" s="25"/>
      <c r="W6" s="25"/>
      <c r="X6" s="25"/>
      <c r="Y6" s="25"/>
      <c r="Z6" s="26"/>
      <c r="AA6" s="26"/>
      <c r="AB6" s="27"/>
      <c r="AD6" s="54" t="s">
        <v>7</v>
      </c>
      <c r="AE6" s="54">
        <f>IF(NOT(C8=AG3),20,0)</f>
        <v>20</v>
      </c>
      <c r="AF6" s="54"/>
      <c r="AG6" s="77">
        <f>MATCH(C8,AG3:AG5,0)+1</f>
        <v>4</v>
      </c>
      <c r="AI6" s="54"/>
    </row>
    <row r="7" spans="1:36" ht="17.100000000000001" customHeight="1">
      <c r="B7" s="23"/>
      <c r="C7" s="147" t="s">
        <v>123</v>
      </c>
      <c r="D7" s="148"/>
      <c r="E7" s="148"/>
      <c r="F7" s="148"/>
      <c r="G7" s="148"/>
      <c r="H7" s="148"/>
      <c r="I7" s="148"/>
      <c r="J7" s="148"/>
      <c r="K7" s="148"/>
      <c r="L7" s="148"/>
      <c r="M7" s="148"/>
      <c r="N7" s="148"/>
      <c r="O7" s="149"/>
      <c r="P7" s="28"/>
      <c r="Q7" s="147" t="s">
        <v>158</v>
      </c>
      <c r="R7" s="148"/>
      <c r="S7" s="148"/>
      <c r="T7" s="148"/>
      <c r="U7" s="148"/>
      <c r="V7" s="148"/>
      <c r="W7" s="148"/>
      <c r="X7" s="148"/>
      <c r="Y7" s="148"/>
      <c r="Z7" s="148"/>
      <c r="AA7" s="149"/>
      <c r="AB7" s="27"/>
      <c r="AD7" s="54" t="s">
        <v>19</v>
      </c>
      <c r="AE7" s="54" t="s">
        <v>151</v>
      </c>
      <c r="AF7" s="54"/>
      <c r="AG7" s="54"/>
      <c r="AI7" s="54"/>
    </row>
    <row r="8" spans="1:36" ht="17.100000000000001" customHeight="1">
      <c r="B8" s="23"/>
      <c r="C8" s="236" t="s">
        <v>108</v>
      </c>
      <c r="D8" s="237"/>
      <c r="E8" s="237"/>
      <c r="F8" s="237"/>
      <c r="G8" s="237"/>
      <c r="H8" s="237"/>
      <c r="I8" s="237"/>
      <c r="J8" s="237"/>
      <c r="K8" s="237"/>
      <c r="L8" s="237"/>
      <c r="M8" s="237"/>
      <c r="N8" s="237"/>
      <c r="O8" s="238"/>
      <c r="P8" s="28"/>
      <c r="Q8" s="135" t="str">
        <f>IF(C8=AG4,"Required ballast per PV panel [lbs] =","Force per fixing per PV panel [lbs] =")</f>
        <v>Force per fixing per PV panel [lbs] =</v>
      </c>
      <c r="R8" s="136"/>
      <c r="S8" s="136"/>
      <c r="T8" s="136"/>
      <c r="U8" s="136"/>
      <c r="V8" s="136"/>
      <c r="W8" s="136"/>
      <c r="X8" s="133" t="str">
        <f ca="1">IF(C8=AG4,FIXED(Z53,1),FIXED(Z54,1)&amp;" / "&amp;FIXED(Z55,1))</f>
        <v>83.0 / -52.1</v>
      </c>
      <c r="Y8" s="133"/>
      <c r="Z8" s="133"/>
      <c r="AA8" s="134"/>
      <c r="AB8" s="27"/>
      <c r="AD8" s="54" t="s">
        <v>20</v>
      </c>
      <c r="AE8" s="54" t="s">
        <v>151</v>
      </c>
      <c r="AF8" s="54"/>
      <c r="AG8" s="54"/>
      <c r="AI8" s="54"/>
    </row>
    <row r="9" spans="1:36" ht="17.100000000000001" customHeight="1">
      <c r="B9" s="23"/>
      <c r="C9" s="37"/>
      <c r="D9" s="37"/>
      <c r="E9" s="37"/>
      <c r="F9" s="37"/>
      <c r="G9" s="37"/>
      <c r="H9" s="37"/>
      <c r="I9" s="37"/>
      <c r="J9" s="37"/>
      <c r="K9" s="37"/>
      <c r="L9" s="37"/>
      <c r="M9" s="37"/>
      <c r="N9" s="37"/>
      <c r="O9" s="37"/>
      <c r="P9" s="28"/>
      <c r="Q9" s="37"/>
      <c r="R9" s="37"/>
      <c r="S9" s="37"/>
      <c r="T9" s="37"/>
      <c r="U9" s="37"/>
      <c r="V9" s="37"/>
      <c r="W9" s="37"/>
      <c r="X9" s="37"/>
      <c r="Y9" s="37"/>
      <c r="Z9" s="37"/>
      <c r="AA9" s="37"/>
      <c r="AB9" s="27"/>
      <c r="AD9" s="54" t="s">
        <v>77</v>
      </c>
      <c r="AE9" s="46">
        <f ca="1">q_h*GC_rn_d</f>
        <v>26.888383672399929</v>
      </c>
      <c r="AF9" s="54"/>
      <c r="AG9" s="54"/>
      <c r="AI9" s="54"/>
    </row>
    <row r="10" spans="1:36" ht="17.100000000000001" customHeight="1">
      <c r="B10" s="23"/>
      <c r="C10" s="239" t="s">
        <v>103</v>
      </c>
      <c r="D10" s="240"/>
      <c r="E10" s="240"/>
      <c r="F10" s="240"/>
      <c r="G10" s="240"/>
      <c r="H10" s="240"/>
      <c r="I10" s="240"/>
      <c r="J10" s="240"/>
      <c r="K10" s="240"/>
      <c r="L10" s="240"/>
      <c r="M10" s="240"/>
      <c r="N10" s="240"/>
      <c r="O10" s="241"/>
      <c r="P10" s="28"/>
      <c r="Q10" s="147" t="s">
        <v>159</v>
      </c>
      <c r="R10" s="148"/>
      <c r="S10" s="148"/>
      <c r="T10" s="148"/>
      <c r="U10" s="148"/>
      <c r="V10" s="148"/>
      <c r="W10" s="148"/>
      <c r="X10" s="148"/>
      <c r="Y10" s="148"/>
      <c r="Z10" s="148"/>
      <c r="AA10" s="149"/>
      <c r="AB10" s="27"/>
      <c r="AD10" s="54" t="s">
        <v>21</v>
      </c>
      <c r="AE10" s="46">
        <f ca="1">ABS(q_h * GC_rn)</f>
        <v>26.888383672399929</v>
      </c>
      <c r="AF10" s="54" t="s">
        <v>181</v>
      </c>
      <c r="AI10" s="245" t="s">
        <v>211</v>
      </c>
      <c r="AJ10" s="246"/>
    </row>
    <row r="11" spans="1:36" ht="17.100000000000001" customHeight="1">
      <c r="B11" s="23"/>
      <c r="C11" s="232" t="s">
        <v>101</v>
      </c>
      <c r="D11" s="233"/>
      <c r="E11" s="233"/>
      <c r="F11" s="233"/>
      <c r="G11" s="233"/>
      <c r="H11" s="233"/>
      <c r="I11" s="233"/>
      <c r="J11" s="233"/>
      <c r="K11" s="233"/>
      <c r="L11" s="233"/>
      <c r="M11" s="233"/>
      <c r="N11" s="234">
        <v>60</v>
      </c>
      <c r="O11" s="235"/>
      <c r="P11" s="28"/>
      <c r="Q11" s="29"/>
      <c r="R11" s="30"/>
      <c r="S11" s="31"/>
      <c r="T11" s="30"/>
      <c r="U11" s="70"/>
      <c r="V11" s="70"/>
      <c r="W11" s="70"/>
      <c r="X11" s="70"/>
      <c r="Y11" s="70"/>
      <c r="Z11" s="70"/>
      <c r="AA11" s="71"/>
      <c r="AB11" s="27"/>
      <c r="AD11" s="54" t="s">
        <v>78</v>
      </c>
      <c r="AE11" s="46">
        <f ca="1">p_dwn * A_t</f>
        <v>71.002138134931059</v>
      </c>
      <c r="AF11" s="54">
        <f ca="1">F_d*4</f>
        <v>284.00855253972423</v>
      </c>
      <c r="AI11" s="287" t="str">
        <f>Z49</f>
        <v>OK</v>
      </c>
      <c r="AJ11" s="75" t="s">
        <v>212</v>
      </c>
    </row>
    <row r="12" spans="1:36" ht="17.100000000000001" customHeight="1">
      <c r="B12" s="23"/>
      <c r="C12" s="213" t="s">
        <v>102</v>
      </c>
      <c r="D12" s="214"/>
      <c r="E12" s="214"/>
      <c r="F12" s="214"/>
      <c r="G12" s="214"/>
      <c r="H12" s="214"/>
      <c r="I12" s="214"/>
      <c r="J12" s="214"/>
      <c r="K12" s="214"/>
      <c r="L12" s="214"/>
      <c r="M12" s="214"/>
      <c r="N12" s="196">
        <v>1</v>
      </c>
      <c r="O12" s="224"/>
      <c r="P12" s="28"/>
      <c r="Q12" s="29"/>
      <c r="R12" s="30"/>
      <c r="S12" s="31"/>
      <c r="T12" s="30"/>
      <c r="U12" s="70"/>
      <c r="V12" s="70"/>
      <c r="W12" s="70"/>
      <c r="X12" s="70"/>
      <c r="Y12" s="70"/>
      <c r="Z12" s="70"/>
      <c r="AA12" s="71"/>
      <c r="AB12" s="27"/>
      <c r="AD12" s="54" t="s">
        <v>74</v>
      </c>
      <c r="AE12" s="46">
        <f ca="1">p * A_t</f>
        <v>71.002138134931059</v>
      </c>
      <c r="AF12" s="54">
        <f ca="1">F*4</f>
        <v>284.00855253972423</v>
      </c>
      <c r="AI12" s="288" t="str">
        <f>Z50</f>
        <v>NOT OK</v>
      </c>
      <c r="AJ12" s="289" t="s">
        <v>192</v>
      </c>
    </row>
    <row r="13" spans="1:36" ht="17.100000000000001" customHeight="1">
      <c r="B13" s="23"/>
      <c r="C13" s="213" t="s">
        <v>104</v>
      </c>
      <c r="D13" s="214"/>
      <c r="E13" s="214"/>
      <c r="F13" s="214"/>
      <c r="G13" s="214"/>
      <c r="H13" s="214"/>
      <c r="I13" s="214"/>
      <c r="J13" s="214"/>
      <c r="K13" s="214"/>
      <c r="L13" s="214"/>
      <c r="M13" s="214"/>
      <c r="N13" s="196">
        <v>12</v>
      </c>
      <c r="O13" s="224"/>
      <c r="P13" s="28"/>
      <c r="Q13" s="29"/>
      <c r="R13" s="30"/>
      <c r="S13" s="31"/>
      <c r="T13" s="30"/>
      <c r="U13" s="70"/>
      <c r="V13" s="70"/>
      <c r="W13" s="70"/>
      <c r="X13" s="70"/>
      <c r="Y13" s="70"/>
      <c r="Z13" s="70"/>
      <c r="AA13" s="71"/>
      <c r="AB13" s="27"/>
      <c r="AD13" s="54" t="s">
        <v>75</v>
      </c>
      <c r="AE13" s="46">
        <f ca="1">F *SIN(ω*PI()/180)</f>
        <v>24.284161461338048</v>
      </c>
      <c r="AF13" s="54">
        <f ca="1">F_horiz*4</f>
        <v>97.136645845352191</v>
      </c>
      <c r="AI13" s="288" t="str">
        <f>IF(OR(AND(MATCH(C8,AG3:AG5,0)=1,N15&lt;=45),N15&lt;=35),"OK","NOT OK")</f>
        <v>OK</v>
      </c>
      <c r="AJ13" s="289" t="str">
        <f>IF(MATCH(C8,AG3:AG5,0)=1,"θ &lt; 45deg","ω &lt; 35deg")</f>
        <v>ω &lt; 35deg</v>
      </c>
    </row>
    <row r="14" spans="1:36" ht="17.100000000000001" customHeight="1">
      <c r="B14" s="23"/>
      <c r="C14" s="213" t="s">
        <v>175</v>
      </c>
      <c r="D14" s="214"/>
      <c r="E14" s="214"/>
      <c r="F14" s="214"/>
      <c r="G14" s="214"/>
      <c r="H14" s="214"/>
      <c r="I14" s="214"/>
      <c r="J14" s="214"/>
      <c r="K14" s="214"/>
      <c r="L14" s="214"/>
      <c r="M14" s="214"/>
      <c r="N14" s="196">
        <v>11</v>
      </c>
      <c r="O14" s="224"/>
      <c r="P14" s="28"/>
      <c r="Q14" s="29"/>
      <c r="R14" s="30"/>
      <c r="S14" s="31"/>
      <c r="T14" s="30"/>
      <c r="U14" s="70"/>
      <c r="V14" s="70"/>
      <c r="W14" s="70"/>
      <c r="X14" s="70"/>
      <c r="Y14" s="70"/>
      <c r="Z14" s="70"/>
      <c r="AA14" s="71"/>
      <c r="AB14" s="32"/>
      <c r="AD14" s="54" t="s">
        <v>76</v>
      </c>
      <c r="AE14" s="46">
        <f ca="1">F * COS(ω*PI()/180)</f>
        <v>66.720185265416461</v>
      </c>
      <c r="AF14" s="54">
        <f ca="1">F_vert*4</f>
        <v>266.88074106166584</v>
      </c>
      <c r="AG14" s="54" t="s">
        <v>182</v>
      </c>
      <c r="AI14" s="288" t="str">
        <f>IF(l_p&lt;=6+8/12,"OK","NOT OK")</f>
        <v>OK</v>
      </c>
      <c r="AJ14" s="289" t="s">
        <v>213</v>
      </c>
    </row>
    <row r="15" spans="1:36" ht="17.100000000000001" customHeight="1">
      <c r="B15" s="23"/>
      <c r="C15" s="213" t="str">
        <f>IF(MATCH(C8,AG3:AG5,0)=1,"Roof angle from horizontal 'θ'","Angle of plane of panel to roof 'ω'")</f>
        <v>Angle of plane of panel to roof 'ω'</v>
      </c>
      <c r="D15" s="214"/>
      <c r="E15" s="214"/>
      <c r="F15" s="214"/>
      <c r="G15" s="214"/>
      <c r="H15" s="214"/>
      <c r="I15" s="214"/>
      <c r="J15" s="214"/>
      <c r="K15" s="214"/>
      <c r="L15" s="214" t="s">
        <v>105</v>
      </c>
      <c r="M15" s="214"/>
      <c r="N15" s="242">
        <v>20</v>
      </c>
      <c r="O15" s="222"/>
      <c r="P15" s="28"/>
      <c r="Q15" s="29"/>
      <c r="R15" s="30"/>
      <c r="S15" s="31"/>
      <c r="T15" s="30"/>
      <c r="U15" s="70"/>
      <c r="V15" s="70"/>
      <c r="W15" s="70"/>
      <c r="X15" s="70"/>
      <c r="Y15" s="70"/>
      <c r="Z15" s="70"/>
      <c r="AA15" s="71"/>
      <c r="AB15" s="32"/>
      <c r="AD15" s="54" t="s">
        <v>22</v>
      </c>
      <c r="AE15" s="54">
        <f>IF(PVType="Ballasted", (F_vert - 0.9*P_D*A)/0.9, 0)</f>
        <v>0</v>
      </c>
      <c r="AG15" s="54">
        <f ca="1">F_vert/0.9</f>
        <v>74.13353918379606</v>
      </c>
      <c r="AI15" s="290" t="str">
        <f>IF(C8=AG3,"N/A",IF(h_1&lt;=2,"OK","NOT OK"))</f>
        <v>OK</v>
      </c>
      <c r="AJ15" s="76" t="s">
        <v>214</v>
      </c>
    </row>
    <row r="16" spans="1:36" ht="17.100000000000001" customHeight="1">
      <c r="B16" s="23"/>
      <c r="C16" s="213" t="s">
        <v>110</v>
      </c>
      <c r="D16" s="214"/>
      <c r="E16" s="214"/>
      <c r="F16" s="214"/>
      <c r="G16" s="214"/>
      <c r="H16" s="214"/>
      <c r="I16" s="214"/>
      <c r="J16" s="214"/>
      <c r="K16" s="214"/>
      <c r="L16" s="214"/>
      <c r="M16" s="214"/>
      <c r="N16" s="243">
        <v>75</v>
      </c>
      <c r="O16" s="244"/>
      <c r="P16" s="28"/>
      <c r="Q16" s="29"/>
      <c r="R16" s="30"/>
      <c r="S16" s="31"/>
      <c r="T16" s="30"/>
      <c r="U16" s="70"/>
      <c r="V16" s="70"/>
      <c r="W16" s="70"/>
      <c r="X16" s="70"/>
      <c r="Y16" s="70"/>
      <c r="Z16" s="70"/>
      <c r="AA16" s="71"/>
      <c r="AB16" s="32"/>
      <c r="AC16" s="49"/>
      <c r="AD16" s="54" t="s">
        <v>179</v>
      </c>
      <c r="AE16" s="54">
        <f>IF(PVType="Ballasted", (F_horiz/μ + F_vert - 0.9*P_D*A)/0.9, 0)</f>
        <v>0</v>
      </c>
      <c r="AG16" s="54">
        <f ca="1">(F_horiz/μ + F_vert)/0.9</f>
        <v>141.58954324306842</v>
      </c>
      <c r="AI16" s="54"/>
    </row>
    <row r="17" spans="2:35" ht="17.100000000000001" customHeight="1">
      <c r="B17" s="23"/>
      <c r="C17" s="213" t="s">
        <v>111</v>
      </c>
      <c r="D17" s="214"/>
      <c r="E17" s="214"/>
      <c r="F17" s="214"/>
      <c r="G17" s="214"/>
      <c r="H17" s="214"/>
      <c r="I17" s="214"/>
      <c r="J17" s="214"/>
      <c r="K17" s="214"/>
      <c r="L17" s="214"/>
      <c r="M17" s="214"/>
      <c r="N17" s="206">
        <v>1</v>
      </c>
      <c r="O17" s="207"/>
      <c r="P17" s="28"/>
      <c r="Q17" s="29"/>
      <c r="R17" s="30"/>
      <c r="S17" s="31"/>
      <c r="T17" s="30"/>
      <c r="U17" s="70"/>
      <c r="V17" s="70"/>
      <c r="W17" s="70"/>
      <c r="X17" s="70"/>
      <c r="Y17" s="70"/>
      <c r="Z17" s="70"/>
      <c r="AA17" s="71"/>
      <c r="AB17" s="32"/>
      <c r="AD17" s="54"/>
      <c r="AE17" s="54"/>
      <c r="AG17" s="54"/>
      <c r="AI17" s="54"/>
    </row>
    <row r="18" spans="2:35" ht="17.100000000000001" customHeight="1">
      <c r="B18" s="23"/>
      <c r="C18" s="213" t="s">
        <v>0</v>
      </c>
      <c r="D18" s="214"/>
      <c r="E18" s="214"/>
      <c r="F18" s="214"/>
      <c r="G18" s="214"/>
      <c r="H18" s="214"/>
      <c r="I18" s="214"/>
      <c r="J18" s="214"/>
      <c r="K18" s="214"/>
      <c r="L18" s="214"/>
      <c r="M18" s="214"/>
      <c r="N18" s="243" t="s">
        <v>5</v>
      </c>
      <c r="O18" s="244"/>
      <c r="P18" s="28"/>
      <c r="Q18" s="29"/>
      <c r="R18" s="30"/>
      <c r="S18" s="31"/>
      <c r="T18" s="30"/>
      <c r="U18" s="70"/>
      <c r="V18" s="70"/>
      <c r="W18" s="70"/>
      <c r="X18" s="70"/>
      <c r="Y18" s="70"/>
      <c r="Z18" s="70"/>
      <c r="AA18" s="71"/>
      <c r="AB18" s="32"/>
      <c r="AD18" s="54"/>
      <c r="AE18" s="54"/>
      <c r="AF18" s="54" t="s">
        <v>193</v>
      </c>
      <c r="AG18" s="58"/>
      <c r="AI18" s="54"/>
    </row>
    <row r="19" spans="2:35" ht="17.100000000000001" customHeight="1">
      <c r="B19" s="23"/>
      <c r="C19" s="213" t="s">
        <v>112</v>
      </c>
      <c r="D19" s="214"/>
      <c r="E19" s="214"/>
      <c r="F19" s="214"/>
      <c r="G19" s="214"/>
      <c r="H19" s="214"/>
      <c r="I19" s="214"/>
      <c r="J19" s="214"/>
      <c r="K19" s="214"/>
      <c r="L19" s="214"/>
      <c r="M19" s="214"/>
      <c r="N19" s="243">
        <v>0.85</v>
      </c>
      <c r="O19" s="244"/>
      <c r="P19" s="28"/>
      <c r="Q19" s="29"/>
      <c r="R19" s="30"/>
      <c r="S19" s="30"/>
      <c r="T19" s="30"/>
      <c r="U19" s="70"/>
      <c r="V19" s="70"/>
      <c r="W19" s="70"/>
      <c r="X19" s="70"/>
      <c r="Y19" s="70"/>
      <c r="Z19" s="70"/>
      <c r="AA19" s="71"/>
      <c r="AB19" s="32"/>
      <c r="AD19" s="59" t="s">
        <v>134</v>
      </c>
      <c r="AE19" s="54"/>
      <c r="AF19" s="54" t="s">
        <v>194</v>
      </c>
      <c r="AG19" s="62">
        <f>IF(C8=AG3,"",3.25)</f>
        <v>3.25</v>
      </c>
      <c r="AI19" s="54"/>
    </row>
    <row r="20" spans="2:35" ht="17.100000000000001" customHeight="1">
      <c r="B20" s="23"/>
      <c r="C20" s="213" t="s">
        <v>118</v>
      </c>
      <c r="D20" s="214"/>
      <c r="E20" s="214"/>
      <c r="F20" s="214"/>
      <c r="G20" s="214"/>
      <c r="H20" s="214"/>
      <c r="I20" s="214"/>
      <c r="J20" s="214"/>
      <c r="K20" s="214"/>
      <c r="L20" s="214"/>
      <c r="M20" s="214"/>
      <c r="N20" s="152">
        <f ca="1">IF(θ&lt;=7,
IF(exposureCategory="B",FORECAST(h,OFFSET(Calculations!$J$7:$J$29,MATCH(h,Calculations!$I$7:$I$29,1)-1,0,2),OFFSET(Calculations!$I$7:$I$29,MATCH(h,Calculations!$I$7:$I$29,1)-1,0,2)),IF(exposureCategory="C",FORECAST(h,OFFSET(Calculations!$K$7:$K$29,MATCH(h,Calculations!$I$7:$I$29,1)-1,0,2),OFFSET(Calculations!$I$7:$I$29,MATCH(h,Calculations!$I$7:$I$29,1)-1,0,2)),IF(exposureCategory="D",FORECAST(h,OFFSET(Calculations!$L$7:$L$29,MATCH(h,Calculations!$I$7:$I$29,1)-1,0,2),OFFSET(Calculations!$I$7:$I$29,MATCH(h,Calculations!$I$7:$I$29,1)-1,0,2)),"EXP CAT INVALID"))),
IF(h &lt; 15, 2.01*(15/z_g)^(2/α), 2.01*(h/z_g)^(2/α)))</f>
        <v>1.1299999999999999</v>
      </c>
      <c r="O20" s="142"/>
      <c r="P20" s="28"/>
      <c r="Q20" s="29"/>
      <c r="R20" s="30"/>
      <c r="S20" s="30"/>
      <c r="T20" s="30"/>
      <c r="U20" s="70"/>
      <c r="V20" s="70"/>
      <c r="W20" s="70"/>
      <c r="X20" s="70"/>
      <c r="Y20" s="70"/>
      <c r="Z20" s="70"/>
      <c r="AA20" s="71"/>
      <c r="AB20" s="32"/>
      <c r="AD20" s="56" t="s">
        <v>135</v>
      </c>
      <c r="AF20" s="54" t="s">
        <v>195</v>
      </c>
      <c r="AG20" s="62">
        <f>IF(C8=AG3,"",h_1)</f>
        <v>0.5</v>
      </c>
      <c r="AH20" s="54"/>
      <c r="AI20" s="54"/>
    </row>
    <row r="21" spans="2:35" ht="17.100000000000001" customHeight="1">
      <c r="B21" s="23"/>
      <c r="C21" s="213" t="s">
        <v>119</v>
      </c>
      <c r="D21" s="214"/>
      <c r="E21" s="214"/>
      <c r="F21" s="214"/>
      <c r="G21" s="214"/>
      <c r="H21" s="214"/>
      <c r="I21" s="214"/>
      <c r="J21" s="214"/>
      <c r="K21" s="214"/>
      <c r="L21" s="214"/>
      <c r="M21" s="214"/>
      <c r="N21" s="152">
        <f ca="1">0.00256 * K_z * K_zt *K_d * V^2</f>
        <v>13.831200000000001</v>
      </c>
      <c r="O21" s="142"/>
      <c r="P21" s="28"/>
      <c r="Q21" s="29"/>
      <c r="R21" s="30"/>
      <c r="S21" s="30"/>
      <c r="T21" s="30"/>
      <c r="U21" s="70"/>
      <c r="V21" s="70"/>
      <c r="W21" s="70"/>
      <c r="X21" s="70"/>
      <c r="Y21" s="70"/>
      <c r="Z21" s="70"/>
      <c r="AA21" s="71"/>
      <c r="AB21" s="32"/>
      <c r="AD21" s="56" t="s">
        <v>136</v>
      </c>
      <c r="AE21" s="54"/>
      <c r="AF21" s="54" t="s">
        <v>198</v>
      </c>
      <c r="AG21" s="62">
        <f>IF(C8=AG3,"",20)</f>
        <v>20</v>
      </c>
      <c r="AI21" s="54"/>
    </row>
    <row r="22" spans="2:35" ht="17.100000000000001" customHeight="1">
      <c r="B22" s="23"/>
      <c r="C22" s="215" t="s">
        <v>120</v>
      </c>
      <c r="D22" s="216"/>
      <c r="E22" s="216"/>
      <c r="F22" s="216"/>
      <c r="G22" s="216"/>
      <c r="H22" s="216"/>
      <c r="I22" s="216"/>
      <c r="J22" s="216"/>
      <c r="K22" s="216"/>
      <c r="L22" s="216"/>
      <c r="M22" s="216"/>
      <c r="N22" s="161">
        <f>MIN(0.5*SQRT(h*W_L), h)</f>
        <v>13.416407864998739</v>
      </c>
      <c r="O22" s="162"/>
      <c r="P22" s="28"/>
      <c r="Q22" s="33"/>
      <c r="R22" s="34"/>
      <c r="S22" s="35"/>
      <c r="T22" s="34"/>
      <c r="U22" s="72"/>
      <c r="V22" s="72"/>
      <c r="W22" s="72"/>
      <c r="X22" s="72"/>
      <c r="Y22" s="72"/>
      <c r="Z22" s="72"/>
      <c r="AA22" s="69" t="s">
        <v>184</v>
      </c>
      <c r="AB22" s="32"/>
      <c r="AD22" s="60" t="s">
        <v>124</v>
      </c>
      <c r="AE22" s="54"/>
      <c r="AF22" s="54" t="s">
        <v>196</v>
      </c>
      <c r="AG22" s="62" t="str">
        <f>IF(C8=AG3,3.25,"")</f>
        <v/>
      </c>
      <c r="AH22" s="54"/>
      <c r="AI22" s="54"/>
    </row>
    <row r="23" spans="2:35" ht="17.100000000000001" customHeight="1">
      <c r="B23" s="23"/>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2"/>
      <c r="AD23" s="54" t="s">
        <v>125</v>
      </c>
      <c r="AE23" s="54"/>
      <c r="AF23" s="54" t="s">
        <v>197</v>
      </c>
      <c r="AG23" s="62" t="str">
        <f>IF(C8=AG3,20,"")</f>
        <v/>
      </c>
      <c r="AH23" s="54"/>
      <c r="AI23" s="54"/>
    </row>
    <row r="24" spans="2:35" ht="17.100000000000001" customHeight="1">
      <c r="B24" s="23"/>
      <c r="C24" s="147" t="s">
        <v>122</v>
      </c>
      <c r="D24" s="148"/>
      <c r="E24" s="148"/>
      <c r="F24" s="148"/>
      <c r="G24" s="148"/>
      <c r="H24" s="148"/>
      <c r="I24" s="148"/>
      <c r="J24" s="148"/>
      <c r="K24" s="148"/>
      <c r="L24" s="148"/>
      <c r="M24" s="148"/>
      <c r="N24" s="148"/>
      <c r="O24" s="149"/>
      <c r="P24" s="37"/>
      <c r="Q24" s="147" t="s">
        <v>160</v>
      </c>
      <c r="R24" s="148"/>
      <c r="S24" s="148"/>
      <c r="T24" s="148"/>
      <c r="U24" s="148"/>
      <c r="V24" s="148"/>
      <c r="W24" s="148"/>
      <c r="X24" s="148"/>
      <c r="Y24" s="148"/>
      <c r="Z24" s="148"/>
      <c r="AA24" s="149"/>
      <c r="AB24" s="27"/>
      <c r="AD24" s="54" t="s">
        <v>126</v>
      </c>
      <c r="AF24" s="54" t="s">
        <v>201</v>
      </c>
      <c r="AG24" s="78">
        <f>W_L</f>
        <v>12</v>
      </c>
      <c r="AH24" s="54"/>
      <c r="AI24" s="54"/>
    </row>
    <row r="25" spans="2:35" ht="17.100000000000001" customHeight="1">
      <c r="B25" s="23"/>
      <c r="C25" s="137" t="s">
        <v>113</v>
      </c>
      <c r="D25" s="138"/>
      <c r="E25" s="138"/>
      <c r="F25" s="138"/>
      <c r="G25" s="138"/>
      <c r="H25" s="138"/>
      <c r="I25" s="138"/>
      <c r="J25" s="138"/>
      <c r="K25" s="138"/>
      <c r="L25" s="138"/>
      <c r="M25" s="138"/>
      <c r="N25" s="221">
        <v>3.25</v>
      </c>
      <c r="O25" s="222"/>
      <c r="P25" s="37"/>
      <c r="Q25" s="29"/>
      <c r="R25" s="30"/>
      <c r="S25" s="31"/>
      <c r="T25" s="30"/>
      <c r="U25" s="70"/>
      <c r="V25" s="70"/>
      <c r="W25" s="70"/>
      <c r="X25" s="70"/>
      <c r="Y25" s="70"/>
      <c r="Z25" s="70"/>
      <c r="AA25" s="71"/>
      <c r="AB25" s="27"/>
      <c r="AD25" s="54" t="s">
        <v>127</v>
      </c>
      <c r="AF25" s="54" t="s">
        <v>202</v>
      </c>
      <c r="AG25" s="79">
        <f>W_S</f>
        <v>11</v>
      </c>
      <c r="AI25" s="54"/>
    </row>
    <row r="26" spans="2:35" ht="17.100000000000001" customHeight="1">
      <c r="B26" s="23"/>
      <c r="C26" s="137" t="s">
        <v>114</v>
      </c>
      <c r="D26" s="138"/>
      <c r="E26" s="138"/>
      <c r="F26" s="138"/>
      <c r="G26" s="138"/>
      <c r="H26" s="138"/>
      <c r="I26" s="138"/>
      <c r="J26" s="138"/>
      <c r="K26" s="138"/>
      <c r="L26" s="138"/>
      <c r="M26" s="138"/>
      <c r="N26" s="221">
        <v>5</v>
      </c>
      <c r="O26" s="222"/>
      <c r="P26" s="37"/>
      <c r="Q26" s="29"/>
      <c r="R26" s="30"/>
      <c r="S26" s="31"/>
      <c r="T26" s="30"/>
      <c r="U26" s="70"/>
      <c r="V26" s="70"/>
      <c r="W26" s="70"/>
      <c r="X26" s="70"/>
      <c r="Y26" s="70"/>
      <c r="Z26" s="70"/>
      <c r="AA26" s="71"/>
      <c r="AB26" s="27"/>
      <c r="AD26" s="54" t="s">
        <v>128</v>
      </c>
      <c r="AF26" s="54"/>
      <c r="AG26" s="54"/>
      <c r="AH26" s="54"/>
      <c r="AI26" s="54"/>
    </row>
    <row r="27" spans="2:35" ht="17.100000000000001" customHeight="1">
      <c r="B27" s="23"/>
      <c r="C27" s="137" t="s">
        <v>115</v>
      </c>
      <c r="D27" s="138"/>
      <c r="E27" s="138"/>
      <c r="F27" s="138"/>
      <c r="G27" s="138"/>
      <c r="H27" s="138"/>
      <c r="I27" s="138"/>
      <c r="J27" s="138"/>
      <c r="K27" s="138"/>
      <c r="L27" s="138"/>
      <c r="M27" s="138"/>
      <c r="N27" s="223">
        <v>0.5</v>
      </c>
      <c r="O27" s="224"/>
      <c r="P27" s="37"/>
      <c r="Q27" s="29"/>
      <c r="R27" s="30"/>
      <c r="S27" s="31"/>
      <c r="T27" s="30"/>
      <c r="U27" s="70"/>
      <c r="V27" s="70"/>
      <c r="W27" s="70"/>
      <c r="X27" s="70"/>
      <c r="Y27" s="70"/>
      <c r="Z27" s="70"/>
      <c r="AA27" s="71"/>
      <c r="AB27" s="27"/>
      <c r="AD27" s="54" t="s">
        <v>129</v>
      </c>
      <c r="AE27" s="54"/>
      <c r="AF27" s="54"/>
      <c r="AG27" s="58"/>
      <c r="AH27" s="54"/>
      <c r="AI27" s="54"/>
    </row>
    <row r="28" spans="2:35" ht="17.100000000000001" customHeight="1">
      <c r="B28" s="23"/>
      <c r="C28" s="137" t="s">
        <v>116</v>
      </c>
      <c r="D28" s="138"/>
      <c r="E28" s="138"/>
      <c r="F28" s="138"/>
      <c r="G28" s="138"/>
      <c r="H28" s="138"/>
      <c r="I28" s="138"/>
      <c r="J28" s="138"/>
      <c r="K28" s="138"/>
      <c r="L28" s="138"/>
      <c r="M28" s="138"/>
      <c r="N28" s="221">
        <v>65</v>
      </c>
      <c r="O28" s="222"/>
      <c r="P28" s="37"/>
      <c r="Q28" s="29"/>
      <c r="R28" s="30"/>
      <c r="S28" s="31"/>
      <c r="T28" s="30"/>
      <c r="U28" s="70"/>
      <c r="V28" s="70"/>
      <c r="W28" s="70"/>
      <c r="X28" s="70"/>
      <c r="Y28" s="70"/>
      <c r="Z28" s="70"/>
      <c r="AA28" s="71"/>
      <c r="AB28" s="27"/>
      <c r="AC28" s="50"/>
      <c r="AD28" s="61"/>
      <c r="AE28" s="54"/>
      <c r="AF28" s="54"/>
      <c r="AI28" s="54"/>
    </row>
    <row r="29" spans="2:35" ht="17.100000000000001" customHeight="1">
      <c r="B29" s="23"/>
      <c r="C29" s="139" t="s">
        <v>117</v>
      </c>
      <c r="D29" s="140"/>
      <c r="E29" s="140"/>
      <c r="F29" s="140"/>
      <c r="G29" s="140"/>
      <c r="H29" s="140"/>
      <c r="I29" s="140"/>
      <c r="J29" s="140"/>
      <c r="K29" s="140"/>
      <c r="L29" s="140"/>
      <c r="M29" s="140"/>
      <c r="N29" s="211">
        <v>0.4</v>
      </c>
      <c r="O29" s="212"/>
      <c r="P29" s="37"/>
      <c r="Q29" s="29"/>
      <c r="R29" s="30"/>
      <c r="S29" s="31"/>
      <c r="T29" s="30"/>
      <c r="U29" s="70"/>
      <c r="V29" s="70"/>
      <c r="W29" s="70"/>
      <c r="X29" s="70"/>
      <c r="Y29" s="70"/>
      <c r="Z29" s="70"/>
      <c r="AA29" s="71"/>
      <c r="AB29" s="27"/>
      <c r="AC29" s="51"/>
      <c r="AD29" s="73" t="s">
        <v>185</v>
      </c>
      <c r="AE29" s="62">
        <f>F33</f>
        <v>2</v>
      </c>
      <c r="AF29" s="54"/>
      <c r="AG29" s="54"/>
      <c r="AH29" s="54"/>
      <c r="AI29" s="54"/>
    </row>
    <row r="30" spans="2:35" ht="17.100000000000001" customHeight="1">
      <c r="B30" s="23"/>
      <c r="C30" s="37"/>
      <c r="D30" s="37"/>
      <c r="E30" s="37"/>
      <c r="F30" s="37"/>
      <c r="G30" s="37"/>
      <c r="H30" s="37"/>
      <c r="I30" s="37"/>
      <c r="J30" s="37"/>
      <c r="K30" s="37"/>
      <c r="L30" s="37"/>
      <c r="M30" s="37"/>
      <c r="N30" s="37"/>
      <c r="O30" s="37"/>
      <c r="P30" s="37"/>
      <c r="Q30" s="29"/>
      <c r="R30" s="30"/>
      <c r="S30" s="31"/>
      <c r="T30" s="30"/>
      <c r="U30" s="70"/>
      <c r="V30" s="70"/>
      <c r="W30" s="70"/>
      <c r="X30" s="70"/>
      <c r="Y30" s="70"/>
      <c r="Z30" s="70"/>
      <c r="AA30" s="71"/>
      <c r="AB30" s="27"/>
      <c r="AC30" s="51"/>
      <c r="AD30" s="73" t="s">
        <v>49</v>
      </c>
      <c r="AE30" s="63">
        <f>M33</f>
        <v>6</v>
      </c>
      <c r="AF30" s="62" t="str">
        <f>IF(isEdgePanel_N,"",d_pN)</f>
        <v/>
      </c>
      <c r="AI30" s="54"/>
    </row>
    <row r="31" spans="2:35" ht="17.100000000000001" customHeight="1">
      <c r="B31" s="23"/>
      <c r="C31" s="147" t="s">
        <v>121</v>
      </c>
      <c r="D31" s="148"/>
      <c r="E31" s="148"/>
      <c r="F31" s="148"/>
      <c r="G31" s="148"/>
      <c r="H31" s="148"/>
      <c r="I31" s="148"/>
      <c r="J31" s="148"/>
      <c r="K31" s="148"/>
      <c r="L31" s="148"/>
      <c r="M31" s="148"/>
      <c r="N31" s="148"/>
      <c r="O31" s="149"/>
      <c r="P31" s="37"/>
      <c r="Q31" s="29"/>
      <c r="R31" s="30"/>
      <c r="S31" s="31"/>
      <c r="T31" s="30"/>
      <c r="U31" s="70"/>
      <c r="V31" s="70"/>
      <c r="W31" s="70"/>
      <c r="X31" s="70"/>
      <c r="Y31" s="70"/>
      <c r="Z31" s="70"/>
      <c r="AA31" s="71"/>
      <c r="AB31" s="32"/>
      <c r="AC31" s="52"/>
      <c r="AD31" s="74" t="s">
        <v>45</v>
      </c>
      <c r="AE31" s="64" t="b">
        <f>IF(I33=$AD$20,TRUE,FALSE)</f>
        <v>1</v>
      </c>
      <c r="AF31" s="54"/>
      <c r="AH31" s="54"/>
      <c r="AI31" s="54"/>
    </row>
    <row r="32" spans="2:35" ht="17.100000000000001" customHeight="1">
      <c r="B32" s="23"/>
      <c r="C32" s="170" t="s">
        <v>131</v>
      </c>
      <c r="D32" s="171"/>
      <c r="E32" s="171"/>
      <c r="F32" s="225" t="s">
        <v>133</v>
      </c>
      <c r="G32" s="226"/>
      <c r="H32" s="227"/>
      <c r="I32" s="229" t="s">
        <v>190</v>
      </c>
      <c r="J32" s="229"/>
      <c r="K32" s="229"/>
      <c r="L32" s="229"/>
      <c r="M32" s="225" t="s">
        <v>132</v>
      </c>
      <c r="N32" s="226"/>
      <c r="O32" s="228"/>
      <c r="P32" s="37"/>
      <c r="Q32" s="29"/>
      <c r="R32" s="30"/>
      <c r="S32" s="31"/>
      <c r="T32" s="30"/>
      <c r="U32" s="70"/>
      <c r="V32" s="70"/>
      <c r="W32" s="70"/>
      <c r="X32" s="70"/>
      <c r="Y32" s="70"/>
      <c r="Z32" s="70"/>
      <c r="AA32" s="71"/>
      <c r="AB32" s="32"/>
      <c r="AC32" s="51"/>
      <c r="AD32" s="73" t="s">
        <v>186</v>
      </c>
      <c r="AE32" s="62">
        <f>F34</f>
        <v>2</v>
      </c>
      <c r="AF32" s="54"/>
      <c r="AH32" s="54"/>
      <c r="AI32" s="54"/>
    </row>
    <row r="33" spans="2:35" ht="16.5" customHeight="1">
      <c r="B33" s="23"/>
      <c r="C33" s="230" t="s">
        <v>40</v>
      </c>
      <c r="D33" s="231"/>
      <c r="E33" s="231"/>
      <c r="F33" s="208">
        <v>2</v>
      </c>
      <c r="G33" s="209"/>
      <c r="H33" s="210"/>
      <c r="I33" s="198" t="s">
        <v>135</v>
      </c>
      <c r="J33" s="199"/>
      <c r="K33" s="199"/>
      <c r="L33" s="200"/>
      <c r="M33" s="198">
        <v>6</v>
      </c>
      <c r="N33" s="199"/>
      <c r="O33" s="204"/>
      <c r="P33" s="37"/>
      <c r="Q33" s="29"/>
      <c r="R33" s="30"/>
      <c r="S33" s="31"/>
      <c r="T33" s="30"/>
      <c r="U33" s="70"/>
      <c r="V33" s="70"/>
      <c r="W33" s="70"/>
      <c r="X33" s="70"/>
      <c r="Y33" s="70"/>
      <c r="Z33" s="70"/>
      <c r="AA33" s="71"/>
      <c r="AB33" s="32"/>
      <c r="AC33" s="51"/>
      <c r="AD33" s="73" t="s">
        <v>50</v>
      </c>
      <c r="AE33" s="63">
        <f>M34</f>
        <v>5</v>
      </c>
      <c r="AF33" s="62" t="str">
        <f>IF(isEdgePanel_E,"",d_pE)</f>
        <v/>
      </c>
      <c r="AH33" s="54"/>
      <c r="AI33" s="54"/>
    </row>
    <row r="34" spans="2:35" ht="17.100000000000001" customHeight="1">
      <c r="B34" s="23"/>
      <c r="C34" s="230" t="s">
        <v>42</v>
      </c>
      <c r="D34" s="231"/>
      <c r="E34" s="231"/>
      <c r="F34" s="195">
        <v>2</v>
      </c>
      <c r="G34" s="196"/>
      <c r="H34" s="197"/>
      <c r="I34" s="201" t="s">
        <v>135</v>
      </c>
      <c r="J34" s="202"/>
      <c r="K34" s="202"/>
      <c r="L34" s="203"/>
      <c r="M34" s="205">
        <v>5</v>
      </c>
      <c r="N34" s="206"/>
      <c r="O34" s="207"/>
      <c r="P34" s="37"/>
      <c r="Q34" s="29"/>
      <c r="R34" s="30"/>
      <c r="S34" s="31"/>
      <c r="T34" s="30"/>
      <c r="U34" s="70"/>
      <c r="V34" s="70"/>
      <c r="W34" s="70"/>
      <c r="X34" s="70"/>
      <c r="Y34" s="70"/>
      <c r="Z34" s="70"/>
      <c r="AA34" s="71"/>
      <c r="AB34" s="32"/>
      <c r="AC34" s="52"/>
      <c r="AD34" s="74" t="s">
        <v>44</v>
      </c>
      <c r="AE34" s="64" t="b">
        <f>IF(I34=$AD$20,TRUE,FALSE)</f>
        <v>1</v>
      </c>
      <c r="AF34" s="54"/>
      <c r="AH34" s="54"/>
      <c r="AI34" s="54"/>
    </row>
    <row r="35" spans="2:35" ht="17.100000000000001" customHeight="1">
      <c r="B35" s="23"/>
      <c r="C35" s="230" t="s">
        <v>41</v>
      </c>
      <c r="D35" s="231"/>
      <c r="E35" s="231"/>
      <c r="F35" s="195">
        <v>2</v>
      </c>
      <c r="G35" s="196"/>
      <c r="H35" s="197"/>
      <c r="I35" s="201" t="s">
        <v>135</v>
      </c>
      <c r="J35" s="202"/>
      <c r="K35" s="202"/>
      <c r="L35" s="203"/>
      <c r="M35" s="205">
        <v>2</v>
      </c>
      <c r="N35" s="206"/>
      <c r="O35" s="207"/>
      <c r="P35" s="37"/>
      <c r="Q35" s="29"/>
      <c r="R35" s="30"/>
      <c r="S35" s="31"/>
      <c r="T35" s="30"/>
      <c r="U35" s="70"/>
      <c r="V35" s="70"/>
      <c r="W35" s="70"/>
      <c r="X35" s="70"/>
      <c r="Y35" s="70"/>
      <c r="Z35" s="70"/>
      <c r="AA35" s="71"/>
      <c r="AB35" s="32"/>
      <c r="AC35" s="51"/>
      <c r="AD35" s="73" t="s">
        <v>187</v>
      </c>
      <c r="AE35" s="62">
        <f>F35</f>
        <v>2</v>
      </c>
      <c r="AF35" s="54"/>
      <c r="AH35" s="54"/>
      <c r="AI35" s="54"/>
    </row>
    <row r="36" spans="2:35" ht="17.100000000000001" customHeight="1">
      <c r="B36" s="23"/>
      <c r="C36" s="230" t="s">
        <v>43</v>
      </c>
      <c r="D36" s="231"/>
      <c r="E36" s="231"/>
      <c r="F36" s="195">
        <v>2</v>
      </c>
      <c r="G36" s="196"/>
      <c r="H36" s="197"/>
      <c r="I36" s="201" t="s">
        <v>135</v>
      </c>
      <c r="J36" s="202"/>
      <c r="K36" s="202"/>
      <c r="L36" s="203"/>
      <c r="M36" s="205">
        <v>14</v>
      </c>
      <c r="N36" s="206"/>
      <c r="O36" s="207"/>
      <c r="P36" s="37"/>
      <c r="Q36" s="29"/>
      <c r="R36" s="30"/>
      <c r="S36" s="30"/>
      <c r="T36" s="30"/>
      <c r="U36" s="70"/>
      <c r="V36" s="70"/>
      <c r="W36" s="70"/>
      <c r="X36" s="70"/>
      <c r="Y36" s="70"/>
      <c r="Z36" s="70"/>
      <c r="AA36" s="71"/>
      <c r="AB36" s="32"/>
      <c r="AC36" s="51"/>
      <c r="AD36" s="73" t="s">
        <v>51</v>
      </c>
      <c r="AE36" s="63">
        <f>M35</f>
        <v>2</v>
      </c>
      <c r="AF36" s="62" t="str">
        <f>IF(isEdgePanel_S,"",d_pS)</f>
        <v/>
      </c>
      <c r="AH36" s="54"/>
      <c r="AI36" s="54"/>
    </row>
    <row r="37" spans="2:35" ht="17.100000000000001" customHeight="1">
      <c r="B37" s="23"/>
      <c r="C37" s="219" t="s">
        <v>130</v>
      </c>
      <c r="D37" s="220"/>
      <c r="E37" s="220"/>
      <c r="F37" s="220"/>
      <c r="G37" s="220"/>
      <c r="H37" s="217" t="s">
        <v>126</v>
      </c>
      <c r="I37" s="217"/>
      <c r="J37" s="217"/>
      <c r="K37" s="217"/>
      <c r="L37" s="217"/>
      <c r="M37" s="217"/>
      <c r="N37" s="217"/>
      <c r="O37" s="218"/>
      <c r="P37" s="37"/>
      <c r="Q37" s="33"/>
      <c r="R37" s="34"/>
      <c r="S37" s="35"/>
      <c r="T37" s="34"/>
      <c r="U37" s="72"/>
      <c r="V37" s="72"/>
      <c r="W37" s="72"/>
      <c r="X37" s="72"/>
      <c r="Y37" s="72"/>
      <c r="Z37" s="72"/>
      <c r="AA37" s="69" t="s">
        <v>191</v>
      </c>
      <c r="AB37" s="32"/>
      <c r="AC37" s="52"/>
      <c r="AD37" s="74" t="s">
        <v>46</v>
      </c>
      <c r="AE37" s="64" t="b">
        <f>IF(I35=$AD$20,TRUE,FALSE)</f>
        <v>1</v>
      </c>
      <c r="AF37" s="54"/>
      <c r="AH37" s="54"/>
      <c r="AI37" s="54"/>
    </row>
    <row r="38" spans="2:35" ht="17.100000000000001" customHeight="1">
      <c r="B38" s="23"/>
      <c r="C38" s="159" t="s">
        <v>189</v>
      </c>
      <c r="D38" s="159"/>
      <c r="E38" s="159"/>
      <c r="F38" s="159"/>
      <c r="G38" s="159"/>
      <c r="H38" s="159"/>
      <c r="I38" s="159"/>
      <c r="J38" s="159"/>
      <c r="K38" s="159"/>
      <c r="L38" s="159"/>
      <c r="M38" s="159"/>
      <c r="N38" s="159"/>
      <c r="O38" s="159"/>
      <c r="P38" s="37"/>
      <c r="Q38" s="53"/>
      <c r="R38" s="53"/>
      <c r="S38" s="53"/>
      <c r="T38" s="53"/>
      <c r="U38" s="53"/>
      <c r="V38" s="53"/>
      <c r="W38" s="53"/>
      <c r="X38" s="53"/>
      <c r="Y38" s="53"/>
      <c r="Z38" s="53"/>
      <c r="AA38" s="53"/>
      <c r="AB38" s="32"/>
      <c r="AC38" s="51"/>
      <c r="AD38" s="73" t="s">
        <v>188</v>
      </c>
      <c r="AE38" s="62">
        <f>F36</f>
        <v>2</v>
      </c>
      <c r="AF38" s="54"/>
      <c r="AH38" s="54"/>
      <c r="AI38" s="54"/>
    </row>
    <row r="39" spans="2:35" ht="17.100000000000001" customHeight="1">
      <c r="B39" s="23"/>
      <c r="C39" s="160"/>
      <c r="D39" s="160"/>
      <c r="E39" s="160"/>
      <c r="F39" s="160"/>
      <c r="G39" s="160"/>
      <c r="H39" s="160"/>
      <c r="I39" s="160"/>
      <c r="J39" s="160"/>
      <c r="K39" s="160"/>
      <c r="L39" s="160"/>
      <c r="M39" s="160"/>
      <c r="N39" s="160"/>
      <c r="O39" s="160"/>
      <c r="P39" s="37"/>
      <c r="Q39" s="53"/>
      <c r="R39" s="53"/>
      <c r="S39" s="53"/>
      <c r="T39" s="53"/>
      <c r="U39" s="53"/>
      <c r="V39" s="53"/>
      <c r="W39" s="53"/>
      <c r="X39" s="53"/>
      <c r="Y39" s="53"/>
      <c r="Z39" s="53"/>
      <c r="AA39" s="53"/>
      <c r="AB39" s="32"/>
      <c r="AC39" s="51"/>
      <c r="AD39" s="73" t="s">
        <v>52</v>
      </c>
      <c r="AE39" s="63">
        <f>M36</f>
        <v>14</v>
      </c>
      <c r="AF39" s="62" t="str">
        <f>IF(isEdgePanel_W,"",d_pW)</f>
        <v/>
      </c>
      <c r="AG39" s="54"/>
      <c r="AH39" s="54"/>
      <c r="AI39" s="54"/>
    </row>
    <row r="40" spans="2:35" ht="17.100000000000001" customHeight="1">
      <c r="B40" s="23"/>
      <c r="C40" s="160"/>
      <c r="D40" s="160"/>
      <c r="E40" s="160"/>
      <c r="F40" s="160"/>
      <c r="G40" s="160"/>
      <c r="H40" s="160"/>
      <c r="I40" s="160"/>
      <c r="J40" s="160"/>
      <c r="K40" s="160"/>
      <c r="L40" s="160"/>
      <c r="M40" s="160"/>
      <c r="N40" s="160"/>
      <c r="O40" s="160"/>
      <c r="P40" s="53"/>
      <c r="Q40" s="53"/>
      <c r="R40" s="53"/>
      <c r="S40" s="53"/>
      <c r="T40" s="53"/>
      <c r="U40" s="53"/>
      <c r="V40" s="53"/>
      <c r="W40" s="53"/>
      <c r="X40" s="53"/>
      <c r="Y40" s="53"/>
      <c r="Z40" s="53"/>
      <c r="AA40" s="53"/>
      <c r="AB40" s="32"/>
      <c r="AC40" s="51"/>
      <c r="AD40" s="73" t="s">
        <v>47</v>
      </c>
      <c r="AE40" s="54" t="b">
        <f>IF(I36=$AD$20,TRUE,FALSE)</f>
        <v>1</v>
      </c>
      <c r="AF40" s="54"/>
      <c r="AH40" s="54"/>
      <c r="AI40" s="54"/>
    </row>
    <row r="41" spans="2:35" ht="17.100000000000001" customHeight="1">
      <c r="B41" s="23"/>
      <c r="C41" s="147" t="s">
        <v>137</v>
      </c>
      <c r="D41" s="148"/>
      <c r="E41" s="148"/>
      <c r="F41" s="148"/>
      <c r="G41" s="148"/>
      <c r="H41" s="148"/>
      <c r="I41" s="148"/>
      <c r="J41" s="148"/>
      <c r="K41" s="148"/>
      <c r="L41" s="148"/>
      <c r="M41" s="148"/>
      <c r="N41" s="148"/>
      <c r="O41" s="149"/>
      <c r="P41" s="53"/>
      <c r="Q41" s="147" t="s">
        <v>162</v>
      </c>
      <c r="R41" s="148"/>
      <c r="S41" s="148"/>
      <c r="T41" s="148"/>
      <c r="U41" s="148"/>
      <c r="V41" s="148"/>
      <c r="W41" s="148"/>
      <c r="X41" s="148"/>
      <c r="Y41" s="148"/>
      <c r="Z41" s="148"/>
      <c r="AA41" s="149"/>
      <c r="AB41" s="27"/>
      <c r="AD41" s="54"/>
      <c r="AE41" s="54"/>
      <c r="AF41" s="54"/>
      <c r="AH41" s="54"/>
      <c r="AI41" s="54"/>
    </row>
    <row r="42" spans="2:35" ht="17.100000000000001" customHeight="1">
      <c r="B42" s="23"/>
      <c r="C42" s="170" t="s">
        <v>138</v>
      </c>
      <c r="D42" s="171"/>
      <c r="E42" s="172" t="s">
        <v>143</v>
      </c>
      <c r="F42" s="172"/>
      <c r="G42" s="173" t="s">
        <v>144</v>
      </c>
      <c r="H42" s="173"/>
      <c r="I42" s="173" t="s">
        <v>148</v>
      </c>
      <c r="J42" s="173"/>
      <c r="K42" s="173" t="s">
        <v>147</v>
      </c>
      <c r="L42" s="173"/>
      <c r="M42" s="173"/>
      <c r="N42" s="173" t="s">
        <v>145</v>
      </c>
      <c r="O42" s="174"/>
      <c r="P42" s="53"/>
      <c r="Q42" s="153" t="s">
        <v>168</v>
      </c>
      <c r="R42" s="154"/>
      <c r="S42" s="154"/>
      <c r="T42" s="154"/>
      <c r="U42" s="154"/>
      <c r="V42" s="154"/>
      <c r="W42" s="154"/>
      <c r="X42" s="154"/>
      <c r="Y42" s="154"/>
      <c r="Z42" s="155">
        <v>0</v>
      </c>
      <c r="AA42" s="156"/>
      <c r="AB42" s="27"/>
      <c r="AD42" s="167" t="s">
        <v>149</v>
      </c>
      <c r="AE42" s="167"/>
      <c r="AF42" s="54" t="s">
        <v>150</v>
      </c>
      <c r="AH42" s="54"/>
      <c r="AI42" s="54"/>
    </row>
    <row r="43" spans="2:35" ht="17.100000000000001" customHeight="1">
      <c r="B43" s="23"/>
      <c r="C43" s="175" t="s">
        <v>139</v>
      </c>
      <c r="D43" s="176"/>
      <c r="E43" s="181">
        <f>Calculations!D7</f>
        <v>3</v>
      </c>
      <c r="F43" s="181"/>
      <c r="G43" s="163">
        <f>INDEX(Calculations!E29:E32,MATCH(Calculations!$G$33,Calculations!$G$29:$G$32,0))</f>
        <v>1.3416407864998741</v>
      </c>
      <c r="H43" s="164"/>
      <c r="I43" s="163" t="str">
        <f>IF($C$8=$AG$3,FIXED(AD43,1)&amp;"/"&amp;FIXED(AE43,1),"N/A")</f>
        <v>N/A</v>
      </c>
      <c r="J43" s="164"/>
      <c r="K43" s="183">
        <f ca="1">IF($C$8=$AG$3,"N/A",OFFSET(Calculations!$G$17,0,-'Photovoltaic module'!E43))</f>
        <v>1.9440383822372553</v>
      </c>
      <c r="L43" s="184"/>
      <c r="M43" s="185"/>
      <c r="N43" s="163">
        <f>IF($C$8=$AG$3,"N/A",Calculations!$G$33)</f>
        <v>1</v>
      </c>
      <c r="O43" s="192"/>
      <c r="P43" s="53"/>
      <c r="Q43" s="137" t="s">
        <v>166</v>
      </c>
      <c r="R43" s="138"/>
      <c r="S43" s="138"/>
      <c r="T43" s="138"/>
      <c r="U43" s="138"/>
      <c r="V43" s="138"/>
      <c r="W43" s="138"/>
      <c r="X43" s="138"/>
      <c r="Y43" s="138"/>
      <c r="Z43" s="145">
        <f ca="1">(1-$Z$42)*F_d*IF(PVType="Fixed", 4, IF(PVType="Ballasted", 1))</f>
        <v>284.00855253972423</v>
      </c>
      <c r="AA43" s="146"/>
      <c r="AB43" s="27"/>
      <c r="AD43" s="65">
        <f>INDEX(IF(θ&lt;=27,Calculations!$D$59:$F$59,Calculations!$D$66:$F$66),1,E43)</f>
        <v>-2.6</v>
      </c>
      <c r="AE43" s="65">
        <f>INDEX(IF(θ&lt;=27,Calculations!$D$60:$F$60,Calculations!$D$67:$F$67),1,E43)</f>
        <v>0.5</v>
      </c>
      <c r="AF43" s="66">
        <f ca="1">IF(NOT($C$8=$AG$3),K43*N43,"N/A")</f>
        <v>1.9440383822372553</v>
      </c>
      <c r="AG43" s="54"/>
      <c r="AH43" s="54"/>
      <c r="AI43" s="54"/>
    </row>
    <row r="44" spans="2:35" ht="17.100000000000001" customHeight="1">
      <c r="B44" s="23"/>
      <c r="C44" s="177" t="s">
        <v>140</v>
      </c>
      <c r="D44" s="178"/>
      <c r="E44" s="182">
        <f>Calculations!E7</f>
        <v>3</v>
      </c>
      <c r="F44" s="182"/>
      <c r="G44" s="165">
        <f>INDEX(Calculations!E36:E39,MATCH(Calculations!$G$40,Calculations!$G$36:$G$39,0))</f>
        <v>1.6115654658084233</v>
      </c>
      <c r="H44" s="166"/>
      <c r="I44" s="165" t="str">
        <f>IF($C$8=$AG$3,FIXED(AD44,1)&amp;"/"&amp;FIXED(AE44,1),"N/A")</f>
        <v>N/A</v>
      </c>
      <c r="J44" s="166"/>
      <c r="K44" s="186">
        <f ca="1">IF($C$8=$AG$3,"N/A",OFFSET(Calculations!$G$17,0,-'Photovoltaic module'!E44))</f>
        <v>1.9440383822372553</v>
      </c>
      <c r="L44" s="187"/>
      <c r="M44" s="188"/>
      <c r="N44" s="165">
        <f>IF($C$8=$AG$3,"N/A",Calculations!$G$40)</f>
        <v>1</v>
      </c>
      <c r="O44" s="193"/>
      <c r="P44" s="53"/>
      <c r="Q44" s="137" t="s">
        <v>163</v>
      </c>
      <c r="R44" s="138"/>
      <c r="S44" s="138"/>
      <c r="T44" s="138"/>
      <c r="U44" s="138"/>
      <c r="V44" s="138"/>
      <c r="W44" s="138"/>
      <c r="X44" s="138"/>
      <c r="Y44" s="138"/>
      <c r="Z44" s="145">
        <f ca="1">-(1-$Z$42)*F*IF(PVType="Fixed", 4, IF(PVType="Ballasted", 1))</f>
        <v>-284.00855253972423</v>
      </c>
      <c r="AA44" s="146"/>
      <c r="AB44" s="27"/>
      <c r="AD44" s="65">
        <f>INDEX(IF(θ&lt;=27,Calculations!$D$59:$F$59,Calculations!$D$66:$F$66),1,E44)</f>
        <v>-2.6</v>
      </c>
      <c r="AE44" s="65">
        <f>INDEX(IF(θ&lt;=27,Calculations!$D$60:$F$60,Calculations!$D$67:$F$67),1,E44)</f>
        <v>0.5</v>
      </c>
      <c r="AF44" s="66">
        <f ca="1">IF(NOT($C$8=$AG$3),K44*N44,"N/A")</f>
        <v>1.9440383822372553</v>
      </c>
      <c r="AG44" s="54"/>
      <c r="AH44" s="54"/>
      <c r="AI44" s="54"/>
    </row>
    <row r="45" spans="2:35" ht="17.100000000000001" customHeight="1">
      <c r="B45" s="23"/>
      <c r="C45" s="177" t="s">
        <v>141</v>
      </c>
      <c r="D45" s="178"/>
      <c r="E45" s="182">
        <f>Calculations!F7</f>
        <v>3</v>
      </c>
      <c r="F45" s="182"/>
      <c r="G45" s="165">
        <f>INDEX(Calculations!E43:E46,MATCH(Calculations!$G$47,Calculations!$G$43:$G$46,0))</f>
        <v>1.6115654658084233</v>
      </c>
      <c r="H45" s="166"/>
      <c r="I45" s="165" t="str">
        <f>IF($C$8=$AG$3,FIXED(AD45,1)&amp;"/"&amp;FIXED(AE45,1),"N/A")</f>
        <v>N/A</v>
      </c>
      <c r="J45" s="166"/>
      <c r="K45" s="186">
        <f ca="1">IF($C$8=$AG$3,"N/A",OFFSET(Calculations!$G$17,0,-'Photovoltaic module'!E45))</f>
        <v>1.9440383822372553</v>
      </c>
      <c r="L45" s="187"/>
      <c r="M45" s="188"/>
      <c r="N45" s="165">
        <f>IF($C$8=$AG$3,"N/A",Calculations!$G$47)</f>
        <v>1</v>
      </c>
      <c r="O45" s="193"/>
      <c r="P45" s="53"/>
      <c r="Q45" s="137" t="s">
        <v>178</v>
      </c>
      <c r="R45" s="138"/>
      <c r="S45" s="138"/>
      <c r="T45" s="138"/>
      <c r="U45" s="138"/>
      <c r="V45" s="138"/>
      <c r="W45" s="138"/>
      <c r="X45" s="138"/>
      <c r="Y45" s="138"/>
      <c r="Z45" s="145">
        <f ca="1">IF(C8=AG3,"N/A",(1-$Z$42)*F_horiz*IF(PVType="Fixed",4,IF(PVType="Ballasted",1)))</f>
        <v>97.136645845352191</v>
      </c>
      <c r="AA45" s="146"/>
      <c r="AB45" s="27"/>
      <c r="AD45" s="65">
        <f>INDEX(IF(θ&lt;=27,Calculations!$D$59:$F$59,Calculations!$D$66:$F$66),1,E45)</f>
        <v>-2.6</v>
      </c>
      <c r="AE45" s="65">
        <f>INDEX(IF(θ&lt;=27,Calculations!$D$60:$F$60,Calculations!$D$67:$F$67),1,E45)</f>
        <v>0.5</v>
      </c>
      <c r="AF45" s="66">
        <f ca="1">IF(NOT($C$8=$AG$3),K45*N45,"N/A")</f>
        <v>1.9440383822372553</v>
      </c>
      <c r="AG45" s="54"/>
      <c r="AH45" s="54"/>
      <c r="AI45" s="54"/>
    </row>
    <row r="46" spans="2:35" ht="17.100000000000001" customHeight="1">
      <c r="B46" s="23"/>
      <c r="C46" s="179" t="s">
        <v>142</v>
      </c>
      <c r="D46" s="180"/>
      <c r="E46" s="158">
        <f>Calculations!G7</f>
        <v>3</v>
      </c>
      <c r="F46" s="158"/>
      <c r="G46" s="168">
        <f>INDEX(Calculations!E22:E25,MATCH(E,Calculations!$G$22:$G$25,0))</f>
        <v>1.3416407864998741</v>
      </c>
      <c r="H46" s="169"/>
      <c r="I46" s="168" t="str">
        <f>IF($C$8=$AG$3,FIXED(AD46,1)&amp;"/"&amp;FIXED(AE46,1),"N/A")</f>
        <v>N/A</v>
      </c>
      <c r="J46" s="169"/>
      <c r="K46" s="189">
        <f ca="1">IF($C$8=$AG$3,"N/A",OFFSET(Calculations!$G$17,0,-'Photovoltaic module'!E46))</f>
        <v>1.9440383822372553</v>
      </c>
      <c r="L46" s="190"/>
      <c r="M46" s="191"/>
      <c r="N46" s="168">
        <f>IF($C$8=$AG$3,"N/A",E)</f>
        <v>1</v>
      </c>
      <c r="O46" s="194"/>
      <c r="P46" s="53"/>
      <c r="Q46" s="139" t="s">
        <v>167</v>
      </c>
      <c r="R46" s="140"/>
      <c r="S46" s="140"/>
      <c r="T46" s="140"/>
      <c r="U46" s="140"/>
      <c r="V46" s="140"/>
      <c r="W46" s="140"/>
      <c r="X46" s="140"/>
      <c r="Y46" s="140"/>
      <c r="Z46" s="161">
        <f ca="1">IF(C8=AG3,"N/A",-(1-$Z$42)*F_vert*IF(PVType="Fixed", 4, IF(PVType="Ballasted", 1)))</f>
        <v>-266.88074106166584</v>
      </c>
      <c r="AA46" s="162"/>
      <c r="AB46" s="27"/>
      <c r="AD46" s="67">
        <f>INDEX(IF(θ&lt;=27,Calculations!$D$59:$F$59,Calculations!$D$66:$F$66),1,E46)</f>
        <v>-2.6</v>
      </c>
      <c r="AE46" s="67">
        <f>INDEX(IF(θ&lt;=27,Calculations!$D$60:$F$60,Calculations!$D$67:$F$67),1,E46)</f>
        <v>0.5</v>
      </c>
      <c r="AF46" s="68">
        <f ca="1">IF(NOT($C$8=$AG$3),K46*N46,"N/A")</f>
        <v>1.9440383822372553</v>
      </c>
      <c r="AG46" s="54"/>
      <c r="AH46" s="54"/>
      <c r="AI46" s="54"/>
    </row>
    <row r="47" spans="2:35" ht="17.100000000000001" customHeight="1">
      <c r="B47" s="2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27"/>
      <c r="AD47" s="65">
        <f>IF(H37=AD23,MIN(AD43:AD46),INDEX(AD43:AD46,MATCH(H37,AD24:AD27,0)))</f>
        <v>-2.6</v>
      </c>
      <c r="AE47" s="65">
        <f>MAX(AE43:AE46)</f>
        <v>0.5</v>
      </c>
      <c r="AF47" s="65">
        <f ca="1">IF(H37=AD23,MAX(AF43:AF46),INDEX(AF43:AF46,MATCH(H37,AD24:AD27,0)))</f>
        <v>1.9440383822372553</v>
      </c>
      <c r="AG47" s="54"/>
      <c r="AH47" s="54"/>
      <c r="AI47" s="54"/>
    </row>
    <row r="48" spans="2:35" ht="17.100000000000001" customHeight="1">
      <c r="B48" s="23"/>
      <c r="C48" s="147" t="s">
        <v>161</v>
      </c>
      <c r="D48" s="148"/>
      <c r="E48" s="148"/>
      <c r="F48" s="148"/>
      <c r="G48" s="148"/>
      <c r="H48" s="148"/>
      <c r="I48" s="148"/>
      <c r="J48" s="148"/>
      <c r="K48" s="148"/>
      <c r="L48" s="148"/>
      <c r="M48" s="148"/>
      <c r="N48" s="148"/>
      <c r="O48" s="149"/>
      <c r="P48" s="53"/>
      <c r="Q48" s="147" t="s">
        <v>169</v>
      </c>
      <c r="R48" s="148"/>
      <c r="S48" s="148"/>
      <c r="T48" s="148"/>
      <c r="U48" s="148"/>
      <c r="V48" s="148"/>
      <c r="W48" s="148"/>
      <c r="X48" s="148"/>
      <c r="Y48" s="148"/>
      <c r="Z48" s="148"/>
      <c r="AA48" s="149"/>
      <c r="AB48" s="32"/>
    </row>
    <row r="49" spans="2:28" ht="17.100000000000001" customHeight="1">
      <c r="B49" s="23"/>
      <c r="C49" s="137" t="s">
        <v>170</v>
      </c>
      <c r="D49" s="138"/>
      <c r="E49" s="138"/>
      <c r="F49" s="138"/>
      <c r="G49" s="138"/>
      <c r="H49" s="138"/>
      <c r="I49" s="138"/>
      <c r="J49" s="138"/>
      <c r="K49" s="138"/>
      <c r="L49" s="138"/>
      <c r="M49" s="138"/>
      <c r="N49" s="145">
        <f>65/A</f>
        <v>24.615384615384617</v>
      </c>
      <c r="O49" s="146"/>
      <c r="P49" s="53"/>
      <c r="Q49" s="150" t="s">
        <v>173</v>
      </c>
      <c r="R49" s="151"/>
      <c r="S49" s="151"/>
      <c r="T49" s="151"/>
      <c r="U49" s="151"/>
      <c r="V49" s="151"/>
      <c r="W49" s="151"/>
      <c r="X49" s="151"/>
      <c r="Y49" s="151"/>
      <c r="Z49" s="152" t="str">
        <f>IF(h&lt;=60,"OK","NOT OK")</f>
        <v>OK</v>
      </c>
      <c r="AA49" s="142"/>
      <c r="AB49" s="32"/>
    </row>
    <row r="50" spans="2:28" ht="17.100000000000001" customHeight="1">
      <c r="B50" s="23"/>
      <c r="C50" s="137" t="s">
        <v>155</v>
      </c>
      <c r="D50" s="138"/>
      <c r="E50" s="138"/>
      <c r="F50" s="138"/>
      <c r="G50" s="138"/>
      <c r="H50" s="138"/>
      <c r="I50" s="138"/>
      <c r="J50" s="138"/>
      <c r="K50" s="138"/>
      <c r="L50" s="138"/>
      <c r="M50" s="138"/>
      <c r="N50" s="145">
        <f>IF(θ&lt;=7, MIN(1, MAX(0.8, 0.6+0.06*3.25)), "N/A")</f>
        <v>0.8</v>
      </c>
      <c r="O50" s="146"/>
      <c r="P50" s="53"/>
      <c r="Q50" s="150" t="s">
        <v>174</v>
      </c>
      <c r="R50" s="151"/>
      <c r="S50" s="151"/>
      <c r="T50" s="151"/>
      <c r="U50" s="151"/>
      <c r="V50" s="151"/>
      <c r="W50" s="151"/>
      <c r="X50" s="151"/>
      <c r="Y50" s="151"/>
      <c r="Z50" s="152" t="str">
        <f>IF(h&lt;MIN(W_L,W_S),"OK","NOT OK")</f>
        <v>NOT OK</v>
      </c>
      <c r="AA50" s="142"/>
      <c r="AB50" s="32"/>
    </row>
    <row r="51" spans="2:28" ht="17.100000000000001" customHeight="1">
      <c r="B51" s="23"/>
      <c r="C51" s="137" t="s">
        <v>156</v>
      </c>
      <c r="D51" s="138"/>
      <c r="E51" s="138"/>
      <c r="F51" s="138"/>
      <c r="G51" s="138"/>
      <c r="H51" s="138"/>
      <c r="I51" s="138"/>
      <c r="J51" s="138"/>
      <c r="K51" s="138"/>
      <c r="L51" s="138"/>
      <c r="M51" s="138"/>
      <c r="N51" s="145">
        <f>IF(θ&lt;=7, IF(h_pt&lt;4,1,MIN(0.25*h_pt,1.3)), "N/A")</f>
        <v>1</v>
      </c>
      <c r="O51" s="146"/>
      <c r="P51" s="53"/>
      <c r="Q51" s="150" t="s">
        <v>171</v>
      </c>
      <c r="R51" s="151"/>
      <c r="S51" s="151"/>
      <c r="T51" s="151"/>
      <c r="U51" s="151"/>
      <c r="V51" s="151"/>
      <c r="W51" s="151"/>
      <c r="X51" s="151"/>
      <c r="Y51" s="151"/>
      <c r="Z51" s="145" t="str">
        <f>IF($C$8=$AG$4,(1-$Z$42)*AG15 - 0.9*P_D*A,"N/A")</f>
        <v>N/A</v>
      </c>
      <c r="AA51" s="146"/>
      <c r="AB51" s="32"/>
    </row>
    <row r="52" spans="2:28" ht="17.100000000000001" customHeight="1">
      <c r="B52" s="23"/>
      <c r="C52" s="137" t="s">
        <v>152</v>
      </c>
      <c r="D52" s="138"/>
      <c r="E52" s="138"/>
      <c r="F52" s="138"/>
      <c r="G52" s="138"/>
      <c r="H52" s="138"/>
      <c r="I52" s="138"/>
      <c r="J52" s="138"/>
      <c r="K52" s="138"/>
      <c r="L52" s="138"/>
      <c r="M52" s="138"/>
      <c r="N52" s="145">
        <f>IF(3.25 &lt; 3.25/3, 3.25*3.25/3*pea, 3.25*3.25*pea)</f>
        <v>2.640625</v>
      </c>
      <c r="O52" s="146"/>
      <c r="P52" s="53"/>
      <c r="Q52" s="150" t="s">
        <v>172</v>
      </c>
      <c r="R52" s="151"/>
      <c r="S52" s="151"/>
      <c r="T52" s="151"/>
      <c r="U52" s="151"/>
      <c r="V52" s="151"/>
      <c r="W52" s="151"/>
      <c r="X52" s="151"/>
      <c r="Y52" s="151"/>
      <c r="Z52" s="145" t="str">
        <f>IF($C$8=$AG$4,(1-$Z$42)*AG16 - 0.9*P_D*A,"N/A")</f>
        <v>N/A</v>
      </c>
      <c r="AA52" s="146"/>
      <c r="AB52" s="32"/>
    </row>
    <row r="53" spans="2:28" ht="17.100000000000001" customHeight="1">
      <c r="B53" s="23"/>
      <c r="C53" s="137" t="s">
        <v>153</v>
      </c>
      <c r="D53" s="138"/>
      <c r="E53" s="138"/>
      <c r="F53" s="138"/>
      <c r="G53" s="138"/>
      <c r="H53" s="138"/>
      <c r="I53" s="138"/>
      <c r="J53" s="138"/>
      <c r="K53" s="138"/>
      <c r="L53" s="138"/>
      <c r="M53" s="138"/>
      <c r="N53" s="145">
        <f>IF(θ&lt;=7, (1000/(MAX(a_pv,15))^2) * A, "N/A")</f>
        <v>11.736111111111112</v>
      </c>
      <c r="O53" s="146"/>
      <c r="P53" s="53"/>
      <c r="Q53" s="150" t="s">
        <v>154</v>
      </c>
      <c r="R53" s="151"/>
      <c r="S53" s="151"/>
      <c r="T53" s="151"/>
      <c r="U53" s="151"/>
      <c r="V53" s="151"/>
      <c r="W53" s="151"/>
      <c r="X53" s="151"/>
      <c r="Y53" s="151"/>
      <c r="Z53" s="145" t="str">
        <f>IF($C$8=$AG$4,MAX(Z51,Z52),"N/A")</f>
        <v>N/A</v>
      </c>
      <c r="AA53" s="146"/>
      <c r="AB53" s="32"/>
    </row>
    <row r="54" spans="2:28" ht="17.100000000000001" customHeight="1">
      <c r="B54" s="23"/>
      <c r="C54" s="137" t="s">
        <v>157</v>
      </c>
      <c r="D54" s="138"/>
      <c r="E54" s="138"/>
      <c r="F54" s="138"/>
      <c r="G54" s="138"/>
      <c r="H54" s="138"/>
      <c r="I54" s="138"/>
      <c r="J54" s="138"/>
      <c r="K54" s="138"/>
      <c r="L54" s="138"/>
      <c r="M54" s="138"/>
      <c r="N54" s="145">
        <f>3.25*3.25*pea</f>
        <v>2.640625</v>
      </c>
      <c r="O54" s="146"/>
      <c r="P54" s="53"/>
      <c r="Q54" s="150" t="s">
        <v>176</v>
      </c>
      <c r="R54" s="151"/>
      <c r="S54" s="151"/>
      <c r="T54" s="151"/>
      <c r="U54" s="151"/>
      <c r="V54" s="151"/>
      <c r="W54" s="151"/>
      <c r="X54" s="151"/>
      <c r="Y54" s="151"/>
      <c r="Z54" s="145">
        <f ca="1">IF(NOT($C$8=$AG$4),IF(C8=AG3,Z43,-Z46)/4+65/4,"N/A")</f>
        <v>82.970185265416461</v>
      </c>
      <c r="AA54" s="146"/>
      <c r="AB54" s="32"/>
    </row>
    <row r="55" spans="2:28" ht="17.100000000000001" customHeight="1">
      <c r="B55" s="23"/>
      <c r="C55" s="137" t="str">
        <f>"Net in-to-roof pressure coefficient "&amp;IF($C$8=$AG$3,"'GCp' =","'GCrn' =")</f>
        <v>Net in-to-roof pressure coefficient 'GCrn' =</v>
      </c>
      <c r="D55" s="138"/>
      <c r="E55" s="138"/>
      <c r="F55" s="138"/>
      <c r="G55" s="138"/>
      <c r="H55" s="138"/>
      <c r="I55" s="138"/>
      <c r="J55" s="138"/>
      <c r="K55" s="138"/>
      <c r="L55" s="138"/>
      <c r="M55" s="138"/>
      <c r="N55" s="152">
        <f ca="1">IF(θ&lt;=7, γ_p * $AF$47,
IF(θ&lt;=45, AE47, "NOT CALCUABLE"))</f>
        <v>1.9440383822372553</v>
      </c>
      <c r="O55" s="142"/>
      <c r="P55" s="37"/>
      <c r="Q55" s="150" t="s">
        <v>177</v>
      </c>
      <c r="R55" s="151"/>
      <c r="S55" s="151"/>
      <c r="T55" s="151"/>
      <c r="U55" s="151"/>
      <c r="V55" s="151"/>
      <c r="W55" s="151"/>
      <c r="X55" s="151"/>
      <c r="Y55" s="151"/>
      <c r="Z55" s="157">
        <f ca="1">IF(NOT($C$8=$AG$4),IF(C8=AG3,Z44,Z46)/4+0.9*65/4,"N/A")</f>
        <v>-52.095185265416461</v>
      </c>
      <c r="AA55" s="146"/>
      <c r="AB55" s="32"/>
    </row>
    <row r="56" spans="2:28" ht="17.100000000000001" customHeight="1">
      <c r="B56" s="23"/>
      <c r="C56" s="137" t="str">
        <f>"Net uplift suction coefficient "&amp;IF($C$8=$AG$3,"'GCp' =","'GCrn' =")</f>
        <v>Net uplift suction coefficient 'GCrn' =</v>
      </c>
      <c r="D56" s="138"/>
      <c r="E56" s="138"/>
      <c r="F56" s="138"/>
      <c r="G56" s="138"/>
      <c r="H56" s="138"/>
      <c r="I56" s="138"/>
      <c r="J56" s="138"/>
      <c r="K56" s="138"/>
      <c r="L56" s="138"/>
      <c r="M56" s="138"/>
      <c r="N56" s="152">
        <f ca="1">IF(θ&lt;=7, -γ_p * $AF$47,
IF(θ&lt;=45, AD47, "NOT CALCUABLE"))</f>
        <v>-1.9440383822372553</v>
      </c>
      <c r="O56" s="142"/>
      <c r="P56" s="37"/>
      <c r="Q56" s="247" t="s">
        <v>180</v>
      </c>
      <c r="R56" s="248"/>
      <c r="S56" s="248"/>
      <c r="T56" s="248"/>
      <c r="U56" s="248"/>
      <c r="V56" s="248"/>
      <c r="W56" s="248"/>
      <c r="X56" s="248"/>
      <c r="Y56" s="248"/>
      <c r="Z56" s="249">
        <f ca="1">IF(NOT(C8=AG5),"N/A",Z45/4)</f>
        <v>24.284161461338048</v>
      </c>
      <c r="AA56" s="250"/>
      <c r="AB56" s="32"/>
    </row>
    <row r="57" spans="2:28" ht="17.100000000000001" customHeight="1">
      <c r="B57" s="23"/>
      <c r="C57" s="137" t="s">
        <v>165</v>
      </c>
      <c r="D57" s="138"/>
      <c r="E57" s="138"/>
      <c r="F57" s="138"/>
      <c r="G57" s="138"/>
      <c r="H57" s="138"/>
      <c r="I57" s="138"/>
      <c r="J57" s="138"/>
      <c r="K57" s="138"/>
      <c r="L57" s="138"/>
      <c r="M57" s="138"/>
      <c r="N57" s="141">
        <f ca="1">p_dwn</f>
        <v>26.888383672399929</v>
      </c>
      <c r="O57" s="142"/>
      <c r="P57" s="37"/>
      <c r="Q57" s="127" t="s">
        <v>183</v>
      </c>
      <c r="R57" s="128"/>
      <c r="S57" s="128"/>
      <c r="T57" s="128"/>
      <c r="U57" s="128"/>
      <c r="V57" s="128"/>
      <c r="W57" s="128"/>
      <c r="X57" s="128"/>
      <c r="Y57" s="128"/>
      <c r="Z57" s="128"/>
      <c r="AA57" s="129"/>
      <c r="AB57" s="32"/>
    </row>
    <row r="58" spans="2:28" ht="17.100000000000001" customHeight="1">
      <c r="B58" s="23"/>
      <c r="C58" s="139" t="s">
        <v>164</v>
      </c>
      <c r="D58" s="140"/>
      <c r="E58" s="140"/>
      <c r="F58" s="140"/>
      <c r="G58" s="140"/>
      <c r="H58" s="140"/>
      <c r="I58" s="140"/>
      <c r="J58" s="140"/>
      <c r="K58" s="140"/>
      <c r="L58" s="140"/>
      <c r="M58" s="140"/>
      <c r="N58" s="143">
        <f ca="1">-p</f>
        <v>-26.888383672399929</v>
      </c>
      <c r="O58" s="144"/>
      <c r="P58" s="37"/>
      <c r="Q58" s="130"/>
      <c r="R58" s="131"/>
      <c r="S58" s="131"/>
      <c r="T58" s="131"/>
      <c r="U58" s="131"/>
      <c r="V58" s="131"/>
      <c r="W58" s="131"/>
      <c r="X58" s="131"/>
      <c r="Y58" s="131"/>
      <c r="Z58" s="131"/>
      <c r="AA58" s="132"/>
      <c r="AB58" s="32"/>
    </row>
    <row r="59" spans="2:28" ht="23.25" customHeight="1">
      <c r="B59" s="23"/>
      <c r="C59" s="36"/>
      <c r="D59" s="36"/>
      <c r="E59" s="36"/>
      <c r="F59" s="36"/>
      <c r="G59" s="36"/>
      <c r="H59" s="36"/>
      <c r="I59" s="36"/>
      <c r="J59" s="36"/>
      <c r="K59" s="36"/>
      <c r="L59" s="36"/>
      <c r="M59" s="36"/>
      <c r="N59" s="36"/>
      <c r="O59" s="36"/>
      <c r="P59" s="36"/>
      <c r="Q59" s="28"/>
      <c r="R59" s="28"/>
      <c r="S59" s="36"/>
      <c r="T59" s="53"/>
      <c r="U59" s="36"/>
      <c r="V59" s="28"/>
      <c r="W59" s="28"/>
      <c r="X59" s="28"/>
      <c r="Y59" s="28"/>
      <c r="Z59" s="37"/>
      <c r="AA59" s="37"/>
      <c r="AB59" s="27"/>
    </row>
    <row r="60" spans="2:28" ht="17.100000000000001" customHeight="1" thickBot="1">
      <c r="B60" s="38"/>
      <c r="C60" s="39" t="s">
        <v>99</v>
      </c>
      <c r="D60" s="40"/>
      <c r="E60" s="41"/>
      <c r="F60" s="41"/>
      <c r="G60" s="41"/>
      <c r="H60" s="41"/>
      <c r="I60" s="41"/>
      <c r="J60" s="41"/>
      <c r="K60" s="41"/>
      <c r="L60" s="41"/>
      <c r="M60" s="41"/>
      <c r="N60" s="41"/>
      <c r="O60" s="41"/>
      <c r="P60" s="41"/>
      <c r="Q60" s="41"/>
      <c r="R60" s="41"/>
      <c r="S60" s="41"/>
      <c r="T60" s="41"/>
      <c r="U60" s="41"/>
      <c r="V60" s="41"/>
      <c r="W60" s="41"/>
      <c r="X60" s="41"/>
      <c r="Y60" s="41"/>
      <c r="Z60" s="42"/>
      <c r="AA60" s="43" t="s">
        <v>100</v>
      </c>
      <c r="AB60" s="44"/>
    </row>
    <row r="61" spans="2:28" ht="17.100000000000001" customHeight="1"/>
  </sheetData>
  <sheetProtection algorithmName="SHA-512" hashValue="taoDMnOHbUZgZMWJMSIBID8JQ/VMzZGPvAn2M9bd50gM6vW1RQ59qk8tsD/HxthmamVbXt0I2jMne06t+7zFHQ==" saltValue="nxPIz7UQSF+TMa1We7CnNg==" spinCount="100000" sheet="1" objects="1" scenarios="1"/>
  <dataConsolidate/>
  <mergeCells count="167">
    <mergeCell ref="AI10:AJ10"/>
    <mergeCell ref="Q56:Y56"/>
    <mergeCell ref="Z56:AA56"/>
    <mergeCell ref="C25:M25"/>
    <mergeCell ref="N22:O22"/>
    <mergeCell ref="C26:M26"/>
    <mergeCell ref="B1:R1"/>
    <mergeCell ref="S1:AB1"/>
    <mergeCell ref="E2:P4"/>
    <mergeCell ref="Q2:V3"/>
    <mergeCell ref="W3:X3"/>
    <mergeCell ref="Y3:AB3"/>
    <mergeCell ref="Q4:S4"/>
    <mergeCell ref="T4:V4"/>
    <mergeCell ref="W4:X4"/>
    <mergeCell ref="Y4:AB4"/>
    <mergeCell ref="C5:D5"/>
    <mergeCell ref="E5:P5"/>
    <mergeCell ref="Q5:S5"/>
    <mergeCell ref="T5:V5"/>
    <mergeCell ref="W5:X5"/>
    <mergeCell ref="Y5:AB5"/>
    <mergeCell ref="Q10:AA10"/>
    <mergeCell ref="N16:O16"/>
    <mergeCell ref="C11:M11"/>
    <mergeCell ref="N11:O11"/>
    <mergeCell ref="L15:M15"/>
    <mergeCell ref="C15:K15"/>
    <mergeCell ref="C17:M17"/>
    <mergeCell ref="N17:O17"/>
    <mergeCell ref="Q24:AA24"/>
    <mergeCell ref="C7:O7"/>
    <mergeCell ref="C8:O8"/>
    <mergeCell ref="C10:O10"/>
    <mergeCell ref="C12:M12"/>
    <mergeCell ref="N12:O12"/>
    <mergeCell ref="C13:M13"/>
    <mergeCell ref="N13:O13"/>
    <mergeCell ref="C14:M14"/>
    <mergeCell ref="N14:O14"/>
    <mergeCell ref="C16:M16"/>
    <mergeCell ref="N15:O15"/>
    <mergeCell ref="C24:O24"/>
    <mergeCell ref="C18:M18"/>
    <mergeCell ref="N18:O18"/>
    <mergeCell ref="N19:O19"/>
    <mergeCell ref="C19:M19"/>
    <mergeCell ref="N29:O29"/>
    <mergeCell ref="C20:M20"/>
    <mergeCell ref="C21:M21"/>
    <mergeCell ref="N20:O20"/>
    <mergeCell ref="N21:O21"/>
    <mergeCell ref="C22:M22"/>
    <mergeCell ref="C31:O31"/>
    <mergeCell ref="H37:O37"/>
    <mergeCell ref="C37:G37"/>
    <mergeCell ref="C27:M27"/>
    <mergeCell ref="N25:O25"/>
    <mergeCell ref="C28:M28"/>
    <mergeCell ref="N26:O26"/>
    <mergeCell ref="C29:M29"/>
    <mergeCell ref="N27:O27"/>
    <mergeCell ref="N28:O28"/>
    <mergeCell ref="F32:H32"/>
    <mergeCell ref="M32:O32"/>
    <mergeCell ref="I32:L32"/>
    <mergeCell ref="C32:E32"/>
    <mergeCell ref="C33:E33"/>
    <mergeCell ref="C36:E36"/>
    <mergeCell ref="C35:E35"/>
    <mergeCell ref="C34:E34"/>
    <mergeCell ref="I42:J42"/>
    <mergeCell ref="I43:J43"/>
    <mergeCell ref="I44:J44"/>
    <mergeCell ref="F34:H34"/>
    <mergeCell ref="I33:L33"/>
    <mergeCell ref="I36:L36"/>
    <mergeCell ref="I35:L35"/>
    <mergeCell ref="I34:L34"/>
    <mergeCell ref="M33:O33"/>
    <mergeCell ref="M36:O36"/>
    <mergeCell ref="M35:O35"/>
    <mergeCell ref="M34:O34"/>
    <mergeCell ref="F33:H33"/>
    <mergeCell ref="F36:H36"/>
    <mergeCell ref="F35:H35"/>
    <mergeCell ref="G46:H46"/>
    <mergeCell ref="K43:M43"/>
    <mergeCell ref="K44:M44"/>
    <mergeCell ref="K45:M45"/>
    <mergeCell ref="K46:M46"/>
    <mergeCell ref="N43:O43"/>
    <mergeCell ref="N44:O44"/>
    <mergeCell ref="N45:O45"/>
    <mergeCell ref="N46:O46"/>
    <mergeCell ref="AD42:AE42"/>
    <mergeCell ref="C48:O48"/>
    <mergeCell ref="C52:M52"/>
    <mergeCell ref="N52:O52"/>
    <mergeCell ref="C53:M53"/>
    <mergeCell ref="N53:O53"/>
    <mergeCell ref="C50:M50"/>
    <mergeCell ref="C51:M51"/>
    <mergeCell ref="N50:O50"/>
    <mergeCell ref="N51:O51"/>
    <mergeCell ref="I45:J45"/>
    <mergeCell ref="I46:J46"/>
    <mergeCell ref="C42:D42"/>
    <mergeCell ref="E42:F42"/>
    <mergeCell ref="G42:H42"/>
    <mergeCell ref="N42:O42"/>
    <mergeCell ref="K42:M42"/>
    <mergeCell ref="C43:D43"/>
    <mergeCell ref="C44:D44"/>
    <mergeCell ref="C45:D45"/>
    <mergeCell ref="C46:D46"/>
    <mergeCell ref="E43:F43"/>
    <mergeCell ref="E44:F44"/>
    <mergeCell ref="E45:F45"/>
    <mergeCell ref="C54:M54"/>
    <mergeCell ref="N54:O54"/>
    <mergeCell ref="Q7:AA7"/>
    <mergeCell ref="C55:M55"/>
    <mergeCell ref="C56:M56"/>
    <mergeCell ref="N55:O55"/>
    <mergeCell ref="N56:O56"/>
    <mergeCell ref="Q42:Y42"/>
    <mergeCell ref="Z42:AA42"/>
    <mergeCell ref="Z43:AA43"/>
    <mergeCell ref="Z44:AA44"/>
    <mergeCell ref="Q55:Y55"/>
    <mergeCell ref="Z54:AA54"/>
    <mergeCell ref="Z55:AA55"/>
    <mergeCell ref="C41:O41"/>
    <mergeCell ref="E46:F46"/>
    <mergeCell ref="C38:O40"/>
    <mergeCell ref="Q41:AA41"/>
    <mergeCell ref="Q46:Y46"/>
    <mergeCell ref="Z45:AA45"/>
    <mergeCell ref="Z46:AA46"/>
    <mergeCell ref="G43:H43"/>
    <mergeCell ref="G44:H44"/>
    <mergeCell ref="G45:H45"/>
    <mergeCell ref="Q57:AA58"/>
    <mergeCell ref="X8:AA8"/>
    <mergeCell ref="Q8:W8"/>
    <mergeCell ref="C57:M57"/>
    <mergeCell ref="C58:M58"/>
    <mergeCell ref="N57:O57"/>
    <mergeCell ref="N58:O58"/>
    <mergeCell ref="Q43:Y43"/>
    <mergeCell ref="Q44:Y44"/>
    <mergeCell ref="Q45:Y45"/>
    <mergeCell ref="C49:M49"/>
    <mergeCell ref="N49:O49"/>
    <mergeCell ref="Q48:AA48"/>
    <mergeCell ref="Q51:Y51"/>
    <mergeCell ref="Q52:Y52"/>
    <mergeCell ref="Q53:Y53"/>
    <mergeCell ref="Z51:AA51"/>
    <mergeCell ref="Z52:AA52"/>
    <mergeCell ref="Z53:AA53"/>
    <mergeCell ref="Q49:Y49"/>
    <mergeCell ref="Q50:Y50"/>
    <mergeCell ref="Z49:AA49"/>
    <mergeCell ref="Z50:AA50"/>
    <mergeCell ref="Q54:Y54"/>
  </mergeCells>
  <conditionalFormatting sqref="I43:O46 N49:O58 Z43:AA46 Z49:AA55">
    <cfRule type="containsText" dxfId="21" priority="21" operator="containsText" text="N/A">
      <formula>NOT(ISERROR(SEARCH("N/A",I43)))</formula>
    </cfRule>
  </conditionalFormatting>
  <conditionalFormatting sqref="Z49:AA49">
    <cfRule type="containsText" dxfId="20" priority="20" operator="containsText" text="N/A">
      <formula>NOT(ISERROR(SEARCH("N/A",Z49)))</formula>
    </cfRule>
  </conditionalFormatting>
  <conditionalFormatting sqref="Z50:AA50">
    <cfRule type="containsText" dxfId="19" priority="19" operator="containsText" text="N/A">
      <formula>NOT(ISERROR(SEARCH("N/A",Z50)))</formula>
    </cfRule>
  </conditionalFormatting>
  <conditionalFormatting sqref="N57:O57">
    <cfRule type="containsText" dxfId="18" priority="18" operator="containsText" text="N/A">
      <formula>NOT(ISERROR(SEARCH("N/A",N57)))</formula>
    </cfRule>
  </conditionalFormatting>
  <conditionalFormatting sqref="N58:O58">
    <cfRule type="containsText" dxfId="17" priority="17" operator="containsText" text="N/A">
      <formula>NOT(ISERROR(SEARCH("N/A",N58)))</formula>
    </cfRule>
  </conditionalFormatting>
  <conditionalFormatting sqref="Z54:AA54">
    <cfRule type="containsText" dxfId="16" priority="14" operator="containsText" text="N/A">
      <formula>NOT(ISERROR(SEARCH("N/A",Z54)))</formula>
    </cfRule>
  </conditionalFormatting>
  <conditionalFormatting sqref="Z55:AA55">
    <cfRule type="containsText" dxfId="15" priority="13" operator="containsText" text="N/A">
      <formula>NOT(ISERROR(SEARCH("N/A",Z55)))</formula>
    </cfRule>
  </conditionalFormatting>
  <conditionalFormatting sqref="M33:O36">
    <cfRule type="expression" dxfId="14" priority="30">
      <formula>IF($I33=$AD$20,1,0)</formula>
    </cfRule>
  </conditionalFormatting>
  <conditionalFormatting sqref="N29">
    <cfRule type="expression" dxfId="13" priority="31">
      <formula>IF($C$8=$AG$4,0,1)</formula>
    </cfRule>
  </conditionalFormatting>
  <conditionalFormatting sqref="Q53:AA53">
    <cfRule type="expression" dxfId="12" priority="32">
      <formula>IF($C$8=$AG$4,1,0)</formula>
    </cfRule>
  </conditionalFormatting>
  <conditionalFormatting sqref="Q54:AA55">
    <cfRule type="expression" dxfId="11" priority="33">
      <formula>IF($C$8=$AG$4,0,1)</formula>
    </cfRule>
  </conditionalFormatting>
  <conditionalFormatting sqref="Q56:Y56">
    <cfRule type="expression" dxfId="10" priority="11">
      <formula>IF($C$8=$AG$4,0,1)</formula>
    </cfRule>
  </conditionalFormatting>
  <conditionalFormatting sqref="Z56:AA56">
    <cfRule type="containsText" dxfId="9" priority="9" operator="containsText" text="N/A">
      <formula>NOT(ISERROR(SEARCH("N/A",Z56)))</formula>
    </cfRule>
  </conditionalFormatting>
  <conditionalFormatting sqref="Z56:AA56">
    <cfRule type="containsText" dxfId="8" priority="8" operator="containsText" text="N/A">
      <formula>NOT(ISERROR(SEARCH("N/A",Z56)))</formula>
    </cfRule>
  </conditionalFormatting>
  <conditionalFormatting sqref="Z56:AA56">
    <cfRule type="expression" dxfId="7" priority="10">
      <formula>IF($C$8=$AG$4,0,1)</formula>
    </cfRule>
  </conditionalFormatting>
  <conditionalFormatting sqref="N12">
    <cfRule type="expression" dxfId="5" priority="6">
      <formula>IF($C$8=$AG$3,1,0)</formula>
    </cfRule>
  </conditionalFormatting>
  <conditionalFormatting sqref="AI11:AI12">
    <cfRule type="expression" dxfId="4" priority="5">
      <formula>IF($AI11="OK",0,1)</formula>
    </cfRule>
  </conditionalFormatting>
  <conditionalFormatting sqref="AI13">
    <cfRule type="expression" dxfId="3" priority="4">
      <formula>IF($AI13="OK",0,1)</formula>
    </cfRule>
  </conditionalFormatting>
  <conditionalFormatting sqref="AI14">
    <cfRule type="expression" dxfId="2" priority="3">
      <formula>IF($AI14="OK",0,1)</formula>
    </cfRule>
  </conditionalFormatting>
  <conditionalFormatting sqref="AI15">
    <cfRule type="expression" dxfId="1" priority="2">
      <formula>$AI$15="NOT OK"</formula>
    </cfRule>
  </conditionalFormatting>
  <conditionalFormatting sqref="N27">
    <cfRule type="expression" dxfId="0" priority="1">
      <formula>IF($C$8=$AG$3,1,0)</formula>
    </cfRule>
  </conditionalFormatting>
  <dataValidations count="10">
    <dataValidation type="list" showInputMessage="1" showErrorMessage="1" errorTitle="Invalid Exposure Category" error="Please choose category B, C, or D." sqref="N18" xr:uid="{00000000-0002-0000-0000-000000000000}">
      <formula1>ExposureCategories</formula1>
    </dataValidation>
    <dataValidation showInputMessage="1" showErrorMessage="1" sqref="AE31 AE40 AE37 AE34" xr:uid="{00000000-0002-0000-0000-000001000000}"/>
    <dataValidation allowBlank="1" errorTitle="Invalid entry" error="Cannot calculate wind loads for a roof slope greater than 7 degrees and an angle of plane of panel to roof of greater than 0 degrees._x000a__x000a_Enter a roof slope of less than or equal to 7 before increasing this value above 0." promptTitle="Note" prompt="This spreadsheet cannot calculate wind loads for a roof slope greater than 7 degrees and an angle of plane of panel to roof of greater than 0 degrees." sqref="AE6" xr:uid="{00000000-0002-0000-0000-000002000000}"/>
    <dataValidation allowBlank="1" errorTitle="Invalid entry" error="Cannot calculate wind loads for a roof slope greater than 7 degrees and an angle of plane of panel to roof of greater than 0 degrees._x000a__x000a_Zero the angle of plane of panel to roof before changing the roof slope to greater than 7." sqref="AE3" xr:uid="{00000000-0002-0000-0000-000003000000}"/>
    <dataValidation allowBlank="1" showInputMessage="1" showErrorMessage="1" promptTitle="Maximum values" prompt="Maximum roof slope = 45deg_x000a_Maximum panel angle = 35deg" sqref="N15:O15" xr:uid="{00000000-0002-0000-0000-000004000000}"/>
    <dataValidation type="list" allowBlank="1" showInputMessage="1" showErrorMessage="1" sqref="H37:O37" xr:uid="{00000000-0002-0000-0000-000005000000}">
      <formula1>$AD$23:$AD$27</formula1>
    </dataValidation>
    <dataValidation type="list" allowBlank="1" showInputMessage="1" showErrorMessage="1" sqref="C8:O8" xr:uid="{00000000-0002-0000-0000-000006000000}">
      <formula1>$AG$3:$AG$5</formula1>
    </dataValidation>
    <dataValidation type="list" allowBlank="1" showInputMessage="1" showErrorMessage="1" sqref="I33:L36" xr:uid="{00000000-0002-0000-0000-000007000000}">
      <formula1>$AD$20:$AD$21</formula1>
    </dataValidation>
    <dataValidation allowBlank="1" showInputMessage="1" showErrorMessage="1" promptTitle="Maximum value" prompt="Maximum panel height above roof at low edge = 2'-0&quot;" sqref="N27:O27" xr:uid="{E9FAC416-1877-4236-A833-A8506158F71C}"/>
    <dataValidation allowBlank="1" showInputMessage="1" showErrorMessage="1" promptTitle="Maximum value" prompt="Maximum panel chord length = 6'-8&quot;" sqref="N26:O26" xr:uid="{1F003E62-CFD5-4B33-8FB3-03C39F82971C}"/>
  </dataValidations>
  <pageMargins left="0.74803149606299213" right="0.19685039370078741" top="0.56000000000000005" bottom="0.43307086614173229" header="0" footer="0"/>
  <pageSetup paperSize="9" scale="76" orientation="portrait" r:id="rId1"/>
  <colBreaks count="1" manualBreakCount="1">
    <brk id="2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40" r:id="rId4" name="Button 16">
              <controlPr defaultSize="0" print="0" autoFill="0" autoPict="0" macro="[0]!printme">
                <anchor>
                  <from>
                    <xdr:col>34</xdr:col>
                    <xdr:colOff>66675</xdr:colOff>
                    <xdr:row>3</xdr:row>
                    <xdr:rowOff>76200</xdr:rowOff>
                  </from>
                  <to>
                    <xdr:col>35</xdr:col>
                    <xdr:colOff>619125</xdr:colOff>
                    <xdr:row>4</xdr:row>
                    <xdr:rowOff>200025</xdr:rowOff>
                  </to>
                </anchor>
              </controlPr>
            </control>
          </mc:Choice>
        </mc:AlternateContent>
        <mc:AlternateContent xmlns:mc="http://schemas.openxmlformats.org/markup-compatibility/2006">
          <mc:Choice Requires="x14">
            <control shapeId="1041" r:id="rId5" name="Group Box 17">
              <controlPr defaultSize="0" autoFill="0" autoPict="0">
                <anchor>
                  <from>
                    <xdr:col>34</xdr:col>
                    <xdr:colOff>19050</xdr:colOff>
                    <xdr:row>3</xdr:row>
                    <xdr:rowOff>19050</xdr:rowOff>
                  </from>
                  <to>
                    <xdr:col>35</xdr:col>
                    <xdr:colOff>676275</xdr:colOff>
                    <xdr:row>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B1:O67"/>
  <sheetViews>
    <sheetView zoomScale="70" zoomScaleNormal="70" workbookViewId="0">
      <selection activeCell="F13" sqref="F13"/>
    </sheetView>
  </sheetViews>
  <sheetFormatPr defaultRowHeight="15"/>
  <cols>
    <col min="1" max="1" width="9.140625" style="94"/>
    <col min="2" max="2" width="55.42578125" style="94" bestFit="1" customWidth="1"/>
    <col min="3" max="16384" width="9.140625" style="94"/>
  </cols>
  <sheetData>
    <row r="1" spans="2:15" ht="15.75" thickBot="1"/>
    <row r="2" spans="2:15" ht="15.75" thickBot="1">
      <c r="B2" s="95" t="s">
        <v>9</v>
      </c>
      <c r="C2" s="96">
        <v>0</v>
      </c>
      <c r="I2" s="97" t="str">
        <f>"NOTE: For use with " &amp; O7</f>
        <v>NOTE: For use with Low-rise w/ roof slope θ ≤ 7°</v>
      </c>
    </row>
    <row r="3" spans="2:15">
      <c r="B3" s="98" t="s">
        <v>10</v>
      </c>
      <c r="C3" s="99">
        <f>IF(θ&lt;=7, 2*a_pv, MAX(MIN(0.1*MIN(W_L,W_S),0.4*h),0.04*MIN(W_L,W_S),3))</f>
        <v>26.832815729997478</v>
      </c>
      <c r="I3" s="272" t="s">
        <v>23</v>
      </c>
      <c r="J3" s="273"/>
      <c r="K3" s="273"/>
      <c r="L3" s="274"/>
      <c r="N3" s="95" t="s">
        <v>24</v>
      </c>
      <c r="O3" s="96"/>
    </row>
    <row r="4" spans="2:15" ht="15.75" thickBot="1">
      <c r="B4" s="100" t="s">
        <v>8</v>
      </c>
      <c r="C4" s="101">
        <f>IF(θ&lt;=7, 5*a_pv, FALSE)</f>
        <v>67.082039324993701</v>
      </c>
      <c r="I4" s="269" t="s">
        <v>1</v>
      </c>
      <c r="J4" s="270"/>
      <c r="K4" s="270"/>
      <c r="L4" s="271"/>
      <c r="N4" s="100"/>
      <c r="O4" s="101"/>
    </row>
    <row r="5" spans="2:15" ht="15.75" thickBot="1">
      <c r="I5" s="98"/>
      <c r="J5" s="267" t="s">
        <v>2</v>
      </c>
      <c r="K5" s="267"/>
      <c r="L5" s="268"/>
    </row>
    <row r="6" spans="2:15">
      <c r="B6" s="95" t="s">
        <v>57</v>
      </c>
      <c r="C6" s="102" t="s">
        <v>58</v>
      </c>
      <c r="D6" s="102" t="s">
        <v>53</v>
      </c>
      <c r="E6" s="102" t="s">
        <v>54</v>
      </c>
      <c r="F6" s="102" t="s">
        <v>55</v>
      </c>
      <c r="G6" s="96" t="s">
        <v>56</v>
      </c>
      <c r="I6" s="103" t="s">
        <v>3</v>
      </c>
      <c r="J6" s="104" t="s">
        <v>4</v>
      </c>
      <c r="K6" s="104" t="s">
        <v>5</v>
      </c>
      <c r="L6" s="105" t="s">
        <v>6</v>
      </c>
      <c r="N6" s="97" t="s">
        <v>25</v>
      </c>
      <c r="O6" s="97" t="s">
        <v>26</v>
      </c>
    </row>
    <row r="7" spans="2:15">
      <c r="B7" s="98"/>
      <c r="C7" s="106"/>
      <c r="D7" s="106">
        <f>IF(d_bN &lt; setback_Z2,
       IF(d_bE &lt; setback_Z2, 3, 2),
       IF(d_bE &lt; setback_Z2, 2,
               IF(AND(d_bN &gt;= setback_Z0, d_bE &gt;= setback_Z0), 0, 1)))</f>
        <v>3</v>
      </c>
      <c r="E7" s="106">
        <f>IF(d_bE &lt; setback_Z2,
       IF(d_bS &lt; setback_Z2, 3, 2),
       IF(d_bS &lt; setback_Z2, 2,
               IF(AND(d_bE &gt;= setback_Z0, d_bS &gt;= setback_Z0), 0, 1)))</f>
        <v>3</v>
      </c>
      <c r="F7" s="106">
        <f>IF(d_bS &lt; setback_Z2,
       IF(d_bW &lt; setback_Z2, 3, 2),
       IF(d_bW &lt; setback_Z2, 2,
               IF(AND(d_bS &gt;= setback_Z0, d_bW &gt;= setback_Z0), 0, 1)))</f>
        <v>3</v>
      </c>
      <c r="G7" s="99">
        <f>IF(d_bW &lt; setback_Z2,
       IF(d_bN &lt; setback_Z2, 3, 2),
       IF(d_bN &lt; setback_Z2, 2,
               IF(AND(d_bW &gt;= setback_Z0, d_bN &gt;= setback_Z0), 0, 1)))</f>
        <v>3</v>
      </c>
      <c r="I7" s="98">
        <v>0</v>
      </c>
      <c r="J7" s="106">
        <v>0.56999999999999995</v>
      </c>
      <c r="K7" s="106">
        <v>0.85</v>
      </c>
      <c r="L7" s="99">
        <v>1.03</v>
      </c>
      <c r="N7" s="94" t="s">
        <v>27</v>
      </c>
      <c r="O7" s="94" t="s">
        <v>28</v>
      </c>
    </row>
    <row r="8" spans="2:15" ht="15.75" thickBot="1">
      <c r="B8" s="100" t="s">
        <v>48</v>
      </c>
      <c r="C8" s="107"/>
      <c r="D8" s="107"/>
      <c r="E8" s="107"/>
      <c r="F8" s="107"/>
      <c r="G8" s="101"/>
      <c r="I8" s="98">
        <v>15</v>
      </c>
      <c r="J8" s="106">
        <v>0.56999999999999995</v>
      </c>
      <c r="K8" s="106">
        <v>0.85</v>
      </c>
      <c r="L8" s="99">
        <v>1.03</v>
      </c>
      <c r="O8" s="94" t="s">
        <v>29</v>
      </c>
    </row>
    <row r="9" spans="2:15">
      <c r="B9" s="106"/>
      <c r="C9" s="106"/>
      <c r="D9" s="106"/>
      <c r="E9" s="106"/>
      <c r="F9" s="106"/>
      <c r="G9" s="106"/>
      <c r="I9" s="98">
        <v>20</v>
      </c>
      <c r="J9" s="106">
        <v>0.62</v>
      </c>
      <c r="K9" s="106">
        <v>0.9</v>
      </c>
      <c r="L9" s="99">
        <v>1.08</v>
      </c>
    </row>
    <row r="10" spans="2:15">
      <c r="B10" s="106" t="s">
        <v>68</v>
      </c>
      <c r="C10" s="106"/>
      <c r="D10" s="106"/>
      <c r="E10" s="106"/>
      <c r="F10" s="106"/>
      <c r="G10" s="106"/>
      <c r="I10" s="98">
        <v>25</v>
      </c>
      <c r="J10" s="106">
        <v>0.66</v>
      </c>
      <c r="K10" s="106">
        <v>0.94</v>
      </c>
      <c r="L10" s="99">
        <v>1.1200000000000001</v>
      </c>
      <c r="N10" s="94" t="s">
        <v>30</v>
      </c>
      <c r="O10" s="94" t="s">
        <v>31</v>
      </c>
    </row>
    <row r="11" spans="2:15" ht="15.75" thickBot="1">
      <c r="I11" s="98">
        <v>30</v>
      </c>
      <c r="J11" s="106">
        <v>0.7</v>
      </c>
      <c r="K11" s="106">
        <v>0.98</v>
      </c>
      <c r="L11" s="99">
        <v>1.1599999999999999</v>
      </c>
      <c r="O11" s="94" t="s">
        <v>32</v>
      </c>
    </row>
    <row r="12" spans="2:15">
      <c r="B12" s="95" t="s">
        <v>11</v>
      </c>
      <c r="C12" s="102"/>
      <c r="D12" s="102"/>
      <c r="E12" s="102"/>
      <c r="F12" s="102"/>
      <c r="G12" s="96"/>
      <c r="I12" s="98">
        <v>40</v>
      </c>
      <c r="J12" s="106">
        <v>0.76</v>
      </c>
      <c r="K12" s="106">
        <v>1.04</v>
      </c>
      <c r="L12" s="99">
        <v>1.22</v>
      </c>
    </row>
    <row r="13" spans="2:15">
      <c r="B13" s="98"/>
      <c r="C13" s="108" t="s">
        <v>17</v>
      </c>
      <c r="D13" s="109" t="s">
        <v>14</v>
      </c>
      <c r="E13" s="109" t="s">
        <v>13</v>
      </c>
      <c r="F13" s="109" t="s">
        <v>12</v>
      </c>
      <c r="G13" s="110" t="s">
        <v>18</v>
      </c>
      <c r="I13" s="98">
        <v>50</v>
      </c>
      <c r="J13" s="106">
        <v>0.81</v>
      </c>
      <c r="K13" s="106">
        <v>1.0900000000000001</v>
      </c>
      <c r="L13" s="99">
        <v>1.27</v>
      </c>
    </row>
    <row r="14" spans="2:15">
      <c r="B14" s="98"/>
      <c r="C14" s="111" t="s">
        <v>16</v>
      </c>
      <c r="D14" s="106">
        <f>IF(A_n &lt; 500,
-0.6669*LOG(A_n)+2.3,
-0.35*LOG(A_n)+1.445)</f>
        <v>1.5867343026714629</v>
      </c>
      <c r="E14" s="106">
        <f>IF(A_n &lt; 500,
-0.5743*LOG(A_n)+2,
-0.3*LOG(A_n)+1.26)</f>
        <v>1.3857722447506693</v>
      </c>
      <c r="F14" s="106">
        <f>IF(A_n &lt; 500,
-0.4261*LOG(A_n)+1.5,
-0.25*LOG(A_n)+1.025)</f>
        <v>1.0442757330458996</v>
      </c>
      <c r="G14" s="99">
        <f>IF(A_n &lt; 500,
-0.1853*LOG(A_n)+0.8,
-0.2*LOG(A_n)+0.84)</f>
        <v>0.60181716342033609</v>
      </c>
      <c r="I14" s="98">
        <v>60</v>
      </c>
      <c r="J14" s="106">
        <v>0.85</v>
      </c>
      <c r="K14" s="106">
        <v>1.1299999999999999</v>
      </c>
      <c r="L14" s="99">
        <v>1.31</v>
      </c>
    </row>
    <row r="15" spans="2:15">
      <c r="B15" s="98"/>
      <c r="C15" s="111" t="s">
        <v>15</v>
      </c>
      <c r="D15" s="106">
        <f>IF(A_n &lt; 500,
-1.0004*LOG(A_n)+3.5,
-0.3*LOG(A_n)+1.61)*γ_c</f>
        <v>1.9440383822372553</v>
      </c>
      <c r="E15" s="106">
        <f>IF(A_n &lt; 500,
-0.8337*LOG(A_n)+2.9,
-0.25*LOG(A_n)+1.325)*γ_c</f>
        <v>1.6066701312187122</v>
      </c>
      <c r="F15" s="106">
        <f>IF(A_n &lt; 500,
-0.5372*LOG(A_n)+2,
-0.25*LOG(A_n)+1.225)*γ_c</f>
        <v>1.1403612744280822</v>
      </c>
      <c r="G15" s="99">
        <f>IF(A_n &lt; 500,
-0.2223*LOG(A_n)+1.1,
-0.25*LOG(A_n)+1.175)*γ_c</f>
        <v>0.68979581404572365</v>
      </c>
      <c r="I15" s="98">
        <v>70</v>
      </c>
      <c r="J15" s="106">
        <v>0.89</v>
      </c>
      <c r="K15" s="106">
        <v>1.17</v>
      </c>
      <c r="L15" s="99">
        <v>1.34</v>
      </c>
    </row>
    <row r="16" spans="2:15">
      <c r="B16" s="98"/>
      <c r="C16" s="106"/>
      <c r="D16" s="106"/>
      <c r="E16" s="106"/>
      <c r="F16" s="106"/>
      <c r="G16" s="99"/>
      <c r="I16" s="98">
        <v>80</v>
      </c>
      <c r="J16" s="106">
        <v>0.93</v>
      </c>
      <c r="K16" s="106">
        <v>1.21</v>
      </c>
      <c r="L16" s="99">
        <v>1.38</v>
      </c>
    </row>
    <row r="17" spans="2:12" ht="15.75" thickBot="1">
      <c r="B17" s="100" t="s">
        <v>146</v>
      </c>
      <c r="C17" s="107"/>
      <c r="D17" s="107">
        <f>IF(ω&lt;=5,D14,
IF(ω&gt;=15,D15,
(ω-5)*(D15-D14)/(15-5)+D14
))</f>
        <v>1.9440383822372553</v>
      </c>
      <c r="E17" s="107">
        <f>IF(ω&lt;=5,E14,
IF(ω&gt;=15,E15,
(ω-5)*(E15-E14)/(15-5)+E14
))</f>
        <v>1.6066701312187122</v>
      </c>
      <c r="F17" s="107">
        <f>IF(ω&lt;=5,F14,
IF(ω&gt;=15,F15,
(ω-5)*(F15-F14)/(15-5)+F14
))</f>
        <v>1.1403612744280822</v>
      </c>
      <c r="G17" s="101">
        <f>IF(ω&lt;=5,G14,
IF(ω&gt;=15,G15,
(ω-5)*(G15-G14)/(15-5)+G14
))</f>
        <v>0.68979581404572365</v>
      </c>
      <c r="I17" s="98">
        <v>90</v>
      </c>
      <c r="J17" s="106">
        <v>0.96</v>
      </c>
      <c r="K17" s="106">
        <v>1.24</v>
      </c>
      <c r="L17" s="99">
        <v>1.4</v>
      </c>
    </row>
    <row r="18" spans="2:12" ht="15.75" thickBot="1">
      <c r="I18" s="98">
        <v>100</v>
      </c>
      <c r="J18" s="106">
        <v>0.99</v>
      </c>
      <c r="K18" s="106">
        <v>1.26</v>
      </c>
      <c r="L18" s="99">
        <v>1.43</v>
      </c>
    </row>
    <row r="19" spans="2:12">
      <c r="B19" s="95" t="s">
        <v>34</v>
      </c>
      <c r="C19" s="102"/>
      <c r="D19" s="102"/>
      <c r="E19" s="102"/>
      <c r="F19" s="102"/>
      <c r="G19" s="96"/>
      <c r="I19" s="98">
        <v>120</v>
      </c>
      <c r="J19" s="106">
        <v>1.04</v>
      </c>
      <c r="K19" s="106">
        <v>1.31</v>
      </c>
      <c r="L19" s="99">
        <v>1.48</v>
      </c>
    </row>
    <row r="20" spans="2:12">
      <c r="B20" s="98"/>
      <c r="C20" s="106"/>
      <c r="D20" s="106"/>
      <c r="E20" s="106"/>
      <c r="F20" s="106"/>
      <c r="G20" s="99"/>
      <c r="I20" s="98">
        <v>140</v>
      </c>
      <c r="J20" s="106">
        <v>1.0900000000000001</v>
      </c>
      <c r="K20" s="106">
        <v>1.36</v>
      </c>
      <c r="L20" s="99">
        <v>1.52</v>
      </c>
    </row>
    <row r="21" spans="2:12" ht="45">
      <c r="B21" s="112" t="s">
        <v>86</v>
      </c>
      <c r="C21" s="113" t="s">
        <v>39</v>
      </c>
      <c r="D21" s="114" t="s">
        <v>35</v>
      </c>
      <c r="E21" s="114" t="s">
        <v>36</v>
      </c>
      <c r="F21" s="115" t="s">
        <v>37</v>
      </c>
      <c r="G21" s="116" t="s">
        <v>38</v>
      </c>
      <c r="I21" s="98">
        <v>160</v>
      </c>
      <c r="J21" s="106">
        <v>1.1299999999999999</v>
      </c>
      <c r="K21" s="106">
        <v>1.39</v>
      </c>
      <c r="L21" s="99">
        <v>1.55</v>
      </c>
    </row>
    <row r="22" spans="2:12">
      <c r="B22" s="98"/>
      <c r="C22" s="111" t="s">
        <v>40</v>
      </c>
      <c r="D22" s="106">
        <f>IF(isEdgePanel_N, d_bN, MIN(d_bN, d_pN))</f>
        <v>2</v>
      </c>
      <c r="E22" s="106">
        <f>IF(isEdgePanel_N,0.1*a_pv,MIN(h_1,1)+3.25*SIN(ω*PI()/180))</f>
        <v>1.3416407864998741</v>
      </c>
      <c r="F22" s="106" t="b">
        <f>IF(AND(OR(G7=2, G7=3), d_bN &gt; 3*a_pv), TRUE, FALSE)</f>
        <v>0</v>
      </c>
      <c r="G22" s="99">
        <f>IF(F22, 1.5,
IF(D22/E22 &lt;= 2, 1,
IF(D22/E22 &lt; 8, 1 + (2 - 1) * (D22/E22 - 2)/(8 - 2),
2)))</f>
        <v>1</v>
      </c>
      <c r="I22" s="98">
        <v>180</v>
      </c>
      <c r="J22" s="106">
        <v>1.17</v>
      </c>
      <c r="K22" s="106">
        <v>1.43</v>
      </c>
      <c r="L22" s="99">
        <v>1.58</v>
      </c>
    </row>
    <row r="23" spans="2:12">
      <c r="B23" s="98"/>
      <c r="C23" s="111" t="s">
        <v>42</v>
      </c>
      <c r="D23" s="106">
        <f>0</f>
        <v>0</v>
      </c>
      <c r="E23" s="106">
        <f>MIN(h_1,1)+3.25*SIN(ω*PI()/180)</f>
        <v>1.6115654658084233</v>
      </c>
      <c r="F23" s="106" t="b">
        <f>IF(AND(OR(G7=2, G7=3), W_L - d_bW &gt; 3*a_pv), TRUE, FALSE)</f>
        <v>0</v>
      </c>
      <c r="G23" s="99">
        <f t="shared" ref="G23" si="0">IF(F23, 1,
IF(D23/E23 &lt;= 2, 1,
IF(D23/E23 &lt; 8, 1 + (1.5 - 1) * (D23/E23 - 2)/(8 - 2),
1.5)))</f>
        <v>1</v>
      </c>
      <c r="I23" s="98">
        <v>200</v>
      </c>
      <c r="J23" s="106">
        <v>1.2</v>
      </c>
      <c r="K23" s="106">
        <v>1.46</v>
      </c>
      <c r="L23" s="99">
        <v>1.61</v>
      </c>
    </row>
    <row r="24" spans="2:12">
      <c r="B24" s="98"/>
      <c r="C24" s="111" t="s">
        <v>41</v>
      </c>
      <c r="D24" s="106">
        <f>0</f>
        <v>0</v>
      </c>
      <c r="E24" s="106">
        <f>MIN(h_1,1)+3.25*SIN(ω*PI()/180)</f>
        <v>1.6115654658084233</v>
      </c>
      <c r="F24" s="106" t="b">
        <f>IF(AND(OR(G7=2, G7=3), W_S - d_bN &gt; 3*a_pv), TRUE, FALSE)</f>
        <v>0</v>
      </c>
      <c r="G24" s="99">
        <f>IF(F24, 1,
IF(D24/E24 &lt;= 2, 1,
IF(D24/E24 &lt; 8, 1 + (1.5 - 1) * (D24/E24 - 2)/(8 - 2),
1.5)))</f>
        <v>1</v>
      </c>
      <c r="I24" s="98">
        <v>250</v>
      </c>
      <c r="J24" s="106">
        <v>1.28</v>
      </c>
      <c r="K24" s="106">
        <v>1.53</v>
      </c>
      <c r="L24" s="99">
        <v>1.68</v>
      </c>
    </row>
    <row r="25" spans="2:12">
      <c r="B25" s="98"/>
      <c r="C25" s="113" t="s">
        <v>43</v>
      </c>
      <c r="D25" s="114">
        <f>IF(isEdgePanel_W, d_bW, MIN(d_bW, d_pW))</f>
        <v>2</v>
      </c>
      <c r="E25" s="114">
        <f>IF(isEdgePanel_W,0.1*a_pv,MIN(h_1,1)+3.25*SIN(ω*PI()/180))</f>
        <v>1.3416407864998741</v>
      </c>
      <c r="F25" s="114" t="b">
        <f>IF(AND(OR(G7=2, G7=3), d_bW &gt; 3*a_pv), TRUE, FALSE)</f>
        <v>0</v>
      </c>
      <c r="G25" s="116">
        <f>IF(F25, 1,
IF(D25/E25 &lt;= 2, 1,
IF(D25/E25 &lt; 8, 1 + (1.5 - 1) * (D25/E25 - 2)/(8 - 2),
1.5)))</f>
        <v>1</v>
      </c>
      <c r="I25" s="98">
        <v>300</v>
      </c>
      <c r="J25" s="106">
        <v>1.35</v>
      </c>
      <c r="K25" s="106">
        <v>1.59</v>
      </c>
      <c r="L25" s="99">
        <v>1.73</v>
      </c>
    </row>
    <row r="26" spans="2:12" ht="15.75" thickBot="1">
      <c r="B26" s="98"/>
      <c r="C26" s="117" t="s">
        <v>59</v>
      </c>
      <c r="D26" s="107"/>
      <c r="E26" s="107"/>
      <c r="F26" s="107"/>
      <c r="G26" s="101">
        <f>MAX(G22:G25)</f>
        <v>1</v>
      </c>
      <c r="I26" s="98">
        <v>350</v>
      </c>
      <c r="J26" s="106">
        <v>1.41</v>
      </c>
      <c r="K26" s="106">
        <v>1.64</v>
      </c>
      <c r="L26" s="99">
        <v>1.78</v>
      </c>
    </row>
    <row r="27" spans="2:12">
      <c r="B27" s="98"/>
      <c r="C27" s="106"/>
      <c r="D27" s="106"/>
      <c r="E27" s="106"/>
      <c r="F27" s="106"/>
      <c r="G27" s="99"/>
      <c r="I27" s="98">
        <v>400</v>
      </c>
      <c r="J27" s="106">
        <v>1.47</v>
      </c>
      <c r="K27" s="106">
        <v>1.69</v>
      </c>
      <c r="L27" s="99">
        <v>1.82</v>
      </c>
    </row>
    <row r="28" spans="2:12" ht="45">
      <c r="B28" s="112" t="s">
        <v>87</v>
      </c>
      <c r="C28" s="113" t="s">
        <v>39</v>
      </c>
      <c r="D28" s="114" t="s">
        <v>35</v>
      </c>
      <c r="E28" s="114" t="s">
        <v>36</v>
      </c>
      <c r="F28" s="115" t="s">
        <v>37</v>
      </c>
      <c r="G28" s="116" t="s">
        <v>38</v>
      </c>
      <c r="I28" s="98">
        <v>450</v>
      </c>
      <c r="J28" s="106">
        <v>1.52</v>
      </c>
      <c r="K28" s="106">
        <v>1.73</v>
      </c>
      <c r="L28" s="99">
        <v>1.86</v>
      </c>
    </row>
    <row r="29" spans="2:12" ht="15.75" thickBot="1">
      <c r="B29" s="98"/>
      <c r="C29" s="111" t="s">
        <v>40</v>
      </c>
      <c r="D29" s="106">
        <f>IF(isEdgePanel_N, d_bN, MIN(d_bN, d_pN))</f>
        <v>2</v>
      </c>
      <c r="E29" s="106">
        <f>IF(isEdgePanel_N,0.1*a_pv,MIN(h_1,1)+3.25*SIN(ω*PI()/180))</f>
        <v>1.3416407864998741</v>
      </c>
      <c r="F29" s="106" t="b">
        <f>IF(AND(OR(D7=2, D7=3), d_bN &gt; 3*a_pv), TRUE, FALSE)</f>
        <v>0</v>
      </c>
      <c r="G29" s="99">
        <f>IF(F29, 1.5,
IF(D29/E29 &lt;= 2, 1,
IF(D29/E29 &lt; 8, 1 + (2 - 1) * (D29/E29 - 2)/(8 - 2),
2)))</f>
        <v>1</v>
      </c>
      <c r="I29" s="100">
        <v>500</v>
      </c>
      <c r="J29" s="107">
        <v>1.56</v>
      </c>
      <c r="K29" s="107">
        <v>1.77</v>
      </c>
      <c r="L29" s="101">
        <v>1.89</v>
      </c>
    </row>
    <row r="30" spans="2:12" ht="15.75" thickBot="1">
      <c r="B30" s="98"/>
      <c r="C30" s="111" t="s">
        <v>42</v>
      </c>
      <c r="D30" s="106">
        <f>IF(isEdgePanel_E, d_bE, MIN(d_bE, d_pE))</f>
        <v>2</v>
      </c>
      <c r="E30" s="106">
        <f>IF(isEdgePanel_E,0.1*a_pv,MIN(h_1,1)+3.25*SIN(ω*PI()/180))</f>
        <v>1.3416407864998741</v>
      </c>
      <c r="F30" s="106" t="b">
        <f>IF(AND(OR(D7=2, D7=3), d_bE &gt; 3*a_pv), TRUE, FALSE)</f>
        <v>0</v>
      </c>
      <c r="G30" s="99">
        <f t="shared" ref="G30:G31" si="1">IF(F30, 1,
IF(D30/E30 &lt;= 2, 1,
IF(D30/E30 &lt; 8, 1 + (1.5 - 1) * (D30/E30 - 2)/(8 - 2),
1.5)))</f>
        <v>1</v>
      </c>
    </row>
    <row r="31" spans="2:12">
      <c r="B31" s="98"/>
      <c r="C31" s="111" t="s">
        <v>41</v>
      </c>
      <c r="D31" s="106">
        <v>0</v>
      </c>
      <c r="E31" s="106">
        <f>MIN(h_1,1)+3.25*SIN(ω*PI()/180)</f>
        <v>1.6115654658084233</v>
      </c>
      <c r="F31" s="106" t="b">
        <f>IF(AND(OR(D7=2, D7=3), W_S - d_bN &gt; 3*a_pv), TRUE, FALSE)</f>
        <v>0</v>
      </c>
      <c r="G31" s="99">
        <f t="shared" si="1"/>
        <v>1</v>
      </c>
      <c r="I31" s="272" t="s">
        <v>61</v>
      </c>
      <c r="J31" s="273"/>
      <c r="K31" s="273"/>
      <c r="L31" s="274"/>
    </row>
    <row r="32" spans="2:12">
      <c r="B32" s="98"/>
      <c r="C32" s="113" t="s">
        <v>43</v>
      </c>
      <c r="D32" s="114">
        <v>0</v>
      </c>
      <c r="E32" s="114">
        <f>MIN(h_1,1)+3.25*SIN(ω*PI()/180)</f>
        <v>1.6115654658084233</v>
      </c>
      <c r="F32" s="114" t="b">
        <f>IF(AND(OR(D7=2, D7=3), W_L - d_bE &gt; 3*a_pv), TRUE, FALSE)</f>
        <v>0</v>
      </c>
      <c r="G32" s="116">
        <f>IF(F32, 1,
IF(D32/E32 &lt;= 2, 1,
IF(D32/E32 &lt; 8, 1 + (1.5 - 1) * (D32/E32 - 2)/(8 - 2),
1.5)))</f>
        <v>1</v>
      </c>
      <c r="I32" s="118" t="s">
        <v>2</v>
      </c>
      <c r="J32" s="119" t="s">
        <v>62</v>
      </c>
      <c r="K32" s="120" t="s">
        <v>63</v>
      </c>
      <c r="L32" s="121" t="s">
        <v>64</v>
      </c>
    </row>
    <row r="33" spans="2:12" ht="15.75" thickBot="1">
      <c r="B33" s="98"/>
      <c r="C33" s="117" t="s">
        <v>59</v>
      </c>
      <c r="D33" s="107"/>
      <c r="E33" s="107"/>
      <c r="F33" s="107"/>
      <c r="G33" s="101">
        <f>MAX(G29:G32)</f>
        <v>1</v>
      </c>
      <c r="I33" s="98" t="s">
        <v>4</v>
      </c>
      <c r="J33" s="106">
        <v>7</v>
      </c>
      <c r="K33" s="106">
        <v>1200</v>
      </c>
      <c r="L33" s="99">
        <v>30</v>
      </c>
    </row>
    <row r="34" spans="2:12">
      <c r="B34" s="98"/>
      <c r="C34" s="106"/>
      <c r="D34" s="106"/>
      <c r="E34" s="106"/>
      <c r="F34" s="106"/>
      <c r="G34" s="99"/>
      <c r="I34" s="98" t="s">
        <v>5</v>
      </c>
      <c r="J34" s="106">
        <v>9.5</v>
      </c>
      <c r="K34" s="106">
        <v>900</v>
      </c>
      <c r="L34" s="99">
        <v>15</v>
      </c>
    </row>
    <row r="35" spans="2:12" ht="45.75" thickBot="1">
      <c r="B35" s="112" t="s">
        <v>88</v>
      </c>
      <c r="C35" s="113" t="s">
        <v>39</v>
      </c>
      <c r="D35" s="114" t="s">
        <v>35</v>
      </c>
      <c r="E35" s="114" t="s">
        <v>36</v>
      </c>
      <c r="F35" s="115" t="s">
        <v>37</v>
      </c>
      <c r="G35" s="116" t="s">
        <v>38</v>
      </c>
      <c r="I35" s="100" t="s">
        <v>6</v>
      </c>
      <c r="J35" s="107">
        <v>11.5</v>
      </c>
      <c r="K35" s="107">
        <v>700</v>
      </c>
      <c r="L35" s="101">
        <v>7</v>
      </c>
    </row>
    <row r="36" spans="2:12">
      <c r="B36" s="98"/>
      <c r="C36" s="111" t="s">
        <v>40</v>
      </c>
      <c r="D36" s="106">
        <v>0</v>
      </c>
      <c r="E36" s="106">
        <f>MIN(h_1,1)+3.25*SIN(ω*PI()/180)</f>
        <v>1.6115654658084233</v>
      </c>
      <c r="F36" s="106" t="b">
        <f>IF(AND(OR(E7=2, E7=3), W_S - d_bS &gt; 3*a_pv), TRUE, FALSE)</f>
        <v>0</v>
      </c>
      <c r="G36" s="99">
        <f>IF(F36, 1.5,
IF(D36/E36 &lt;= 2, 1,
IF(D36/E36 &lt; 8, 1 + (2 - 1) * (D36/E36 - 2)/(8 - 2),
2)))</f>
        <v>1</v>
      </c>
    </row>
    <row r="37" spans="2:12">
      <c r="B37" s="98"/>
      <c r="C37" s="111" t="s">
        <v>42</v>
      </c>
      <c r="D37" s="106">
        <f>IF(isEdgePanel_E, d_bE, MIN(d_bE, d_pE))</f>
        <v>2</v>
      </c>
      <c r="E37" s="106">
        <f>IF(isEdgePanel_E,0.1*a_pv,MIN(h_1,1)+3.25*SIN(ω*PI()/180))</f>
        <v>1.3416407864998741</v>
      </c>
      <c r="F37" s="106" t="b">
        <f>IF(AND(OR(E7=2, E7=3), d_bE &gt; 3*a_pv), TRUE, FALSE)</f>
        <v>0</v>
      </c>
      <c r="G37" s="99">
        <f t="shared" ref="G37:G38" si="2">IF(F37, 1,
IF(D37/E37 &lt;= 2, 1,
IF(D37/E37 &lt; 8, 1 + (1.5 - 1) * (D37/E37 - 2)/(8 - 2),
1.5)))</f>
        <v>1</v>
      </c>
    </row>
    <row r="38" spans="2:12">
      <c r="B38" s="98"/>
      <c r="C38" s="111" t="s">
        <v>41</v>
      </c>
      <c r="D38" s="106">
        <f>IF(isEdgePanel_S, d_bS, MIN(d_bS, d_pS))</f>
        <v>2</v>
      </c>
      <c r="E38" s="106">
        <f>IF(isEdgePanel_S,0.1*a_pv,MIN(h_1,1)+3.25*SIN(ω*PI()/180))</f>
        <v>1.3416407864998741</v>
      </c>
      <c r="F38" s="106" t="b">
        <f>IF(AND(OR(E7=2, E7=3), d_bS &gt; 3*a_pv), TRUE, FALSE)</f>
        <v>0</v>
      </c>
      <c r="G38" s="99">
        <f t="shared" si="2"/>
        <v>1</v>
      </c>
    </row>
    <row r="39" spans="2:12">
      <c r="B39" s="98"/>
      <c r="C39" s="113" t="s">
        <v>43</v>
      </c>
      <c r="D39" s="114">
        <v>0</v>
      </c>
      <c r="E39" s="114">
        <f>MIN(h_1,1)+3.25*SIN(ω*PI()/180)</f>
        <v>1.6115654658084233</v>
      </c>
      <c r="F39" s="114" t="b">
        <f>IF(AND(OR(E7=2, E7=3), W_L - d_bE &gt; 3*a_pv), TRUE, FALSE)</f>
        <v>0</v>
      </c>
      <c r="G39" s="116">
        <f>IF(F39, 1,
IF(D39/E39 &lt;= 2, 1,
IF(D39/E39 &lt; 8, 1 + (1.5 - 1) * (D39/E39 - 2)/(8 - 2),
1.5)))</f>
        <v>1</v>
      </c>
    </row>
    <row r="40" spans="2:12" ht="15.75" thickBot="1">
      <c r="B40" s="98"/>
      <c r="C40" s="117" t="s">
        <v>59</v>
      </c>
      <c r="D40" s="107"/>
      <c r="E40" s="107"/>
      <c r="F40" s="107"/>
      <c r="G40" s="101">
        <f>MAX(G36:G39)</f>
        <v>1</v>
      </c>
    </row>
    <row r="41" spans="2:12">
      <c r="B41" s="98"/>
      <c r="C41" s="106"/>
      <c r="D41" s="106"/>
      <c r="E41" s="106"/>
      <c r="F41" s="106"/>
      <c r="G41" s="99"/>
    </row>
    <row r="42" spans="2:12" ht="45">
      <c r="B42" s="112" t="s">
        <v>89</v>
      </c>
      <c r="C42" s="113" t="s">
        <v>39</v>
      </c>
      <c r="D42" s="114" t="s">
        <v>35</v>
      </c>
      <c r="E42" s="114" t="s">
        <v>36</v>
      </c>
      <c r="F42" s="115" t="s">
        <v>37</v>
      </c>
      <c r="G42" s="116" t="s">
        <v>38</v>
      </c>
    </row>
    <row r="43" spans="2:12">
      <c r="B43" s="98"/>
      <c r="C43" s="111" t="s">
        <v>40</v>
      </c>
      <c r="D43" s="106">
        <v>0</v>
      </c>
      <c r="E43" s="106">
        <f>MIN(h_1,1)+3.25*SIN(ω*PI()/180)</f>
        <v>1.6115654658084233</v>
      </c>
      <c r="F43" s="106" t="b">
        <f>IF(AND(OR(F7=2, F7=3), W_S - d_bS &gt; 3*a_pv), TRUE, FALSE)</f>
        <v>0</v>
      </c>
      <c r="G43" s="99">
        <f>IF(F43, 1.5,
IF(D43/E43 &lt;= 2, 1,
IF(D43/E43 &lt; 8, 1 + (2 - 1) * (D43/E43 - 2)/(8 - 2),
2)))</f>
        <v>1</v>
      </c>
    </row>
    <row r="44" spans="2:12">
      <c r="B44" s="98"/>
      <c r="C44" s="111" t="s">
        <v>42</v>
      </c>
      <c r="D44" s="106">
        <v>0</v>
      </c>
      <c r="E44" s="106">
        <f>MIN(h_1,1)+3.25*SIN(ω*PI()/180)</f>
        <v>1.6115654658084233</v>
      </c>
      <c r="F44" s="106" t="b">
        <f>IF(AND(OR(F7=2, F7=3), W_L - d_bW &gt; 3*a_pv), TRUE, FALSE)</f>
        <v>0</v>
      </c>
      <c r="G44" s="99">
        <f t="shared" ref="G44:G45" si="3">IF(F44, 1,
IF(D44/E44 &lt;= 2, 1,
IF(D44/E44 &lt; 8, 1 + (1.5 - 1) * (D44/E44 - 2)/(8 - 2),
1.5)))</f>
        <v>1</v>
      </c>
    </row>
    <row r="45" spans="2:12">
      <c r="B45" s="98"/>
      <c r="C45" s="111" t="s">
        <v>41</v>
      </c>
      <c r="D45" s="106">
        <f>IF(isEdgePanel_S, d_bS, MIN(d_bS, d_pS))</f>
        <v>2</v>
      </c>
      <c r="E45" s="106">
        <f>IF(isEdgePanel_S,0.1*a_pv,MIN(h_1,1)+3.25*SIN(ω*PI()/180))</f>
        <v>1.3416407864998741</v>
      </c>
      <c r="F45" s="106" t="b">
        <f>IF(AND(OR(F7=2, F7=3), d_bS &gt; 3*a_pv), TRUE, FALSE)</f>
        <v>0</v>
      </c>
      <c r="G45" s="99">
        <f t="shared" si="3"/>
        <v>1</v>
      </c>
    </row>
    <row r="46" spans="2:12">
      <c r="B46" s="98"/>
      <c r="C46" s="113" t="s">
        <v>43</v>
      </c>
      <c r="D46" s="114">
        <f>IF(isEdgePanel_W, d_bW, MIN(d_bW, d_pW))</f>
        <v>2</v>
      </c>
      <c r="E46" s="114">
        <f>IF(isEdgePanel_W,0.1*a_pv,MIN(h_1,1)+3.25*SIN(ω*PI()/180))</f>
        <v>1.3416407864998741</v>
      </c>
      <c r="F46" s="114" t="b">
        <f>IF(AND(OR(F7=2, F7=3), d_bW &gt; 3*a_pv), TRUE, FALSE)</f>
        <v>0</v>
      </c>
      <c r="G46" s="116">
        <f>IF(F46, 1,
IF(D46/E46 &lt;= 2, 1,
IF(D46/E46 &lt; 8, 1 + (1.5 - 1) * (D46/E46 - 2)/(8 - 2),
1.5)))</f>
        <v>1</v>
      </c>
    </row>
    <row r="47" spans="2:12" ht="15.75" thickBot="1">
      <c r="B47" s="100"/>
      <c r="C47" s="117" t="s">
        <v>59</v>
      </c>
      <c r="D47" s="107"/>
      <c r="E47" s="107"/>
      <c r="F47" s="107"/>
      <c r="G47" s="101">
        <f>MAX(G43:G46)</f>
        <v>1</v>
      </c>
    </row>
    <row r="48" spans="2:12">
      <c r="B48" s="106"/>
      <c r="C48" s="106"/>
      <c r="D48" s="106"/>
      <c r="E48" s="106"/>
      <c r="F48" s="106"/>
      <c r="G48" s="106"/>
    </row>
    <row r="50" spans="2:8">
      <c r="B50" s="94" t="s">
        <v>79</v>
      </c>
    </row>
    <row r="51" spans="2:8" ht="15.75" thickBot="1"/>
    <row r="52" spans="2:8">
      <c r="B52" s="122" t="s">
        <v>65</v>
      </c>
      <c r="C52" s="96">
        <f>IF(exposureCategory="B", Calculations!$J$33,
IF(exposureCategory="C", Calculations!$J$34,
IF(exposureCategory="D", Calculations!$J$35, "INVALID EXP CATEGORY")))</f>
        <v>9.5</v>
      </c>
    </row>
    <row r="53" spans="2:8" ht="15.75" thickBot="1">
      <c r="B53" s="100" t="s">
        <v>66</v>
      </c>
      <c r="C53" s="101">
        <f>IF(exposureCategory="B", Calculations!$K$33,
IF(exposureCategory="C", Calculations!$K$34,
IF(exposureCategory="D", Calculations!$K$35, "INVALID EXP CATEGORY")))</f>
        <v>900</v>
      </c>
    </row>
    <row r="55" spans="2:8">
      <c r="B55" s="94" t="s">
        <v>69</v>
      </c>
    </row>
    <row r="56" spans="2:8" ht="15.75" thickBot="1"/>
    <row r="57" spans="2:8">
      <c r="B57" s="95" t="s">
        <v>70</v>
      </c>
      <c r="C57" s="102"/>
      <c r="D57" s="102"/>
      <c r="E57" s="102"/>
      <c r="F57" s="96"/>
    </row>
    <row r="58" spans="2:8">
      <c r="B58" s="98"/>
      <c r="C58" s="113" t="s">
        <v>39</v>
      </c>
      <c r="D58" s="123" t="s">
        <v>12</v>
      </c>
      <c r="E58" s="114" t="s">
        <v>13</v>
      </c>
      <c r="F58" s="116" t="s">
        <v>14</v>
      </c>
    </row>
    <row r="59" spans="2:8">
      <c r="B59" s="98"/>
      <c r="C59" s="124" t="s">
        <v>72</v>
      </c>
      <c r="D59" s="106">
        <f>IF(A&lt;=10, -0.9,
IF(A&lt;100, -0.9 + (-0.8 - -0.9) * (A-10)/(100-10),
-0.8))</f>
        <v>-0.9</v>
      </c>
      <c r="E59" s="106">
        <f>IF(A&lt;=10, -1.5,
IF(A&lt;100, -1.5 + (-1.2 - -1.5) * (A-10)/(100-10),
-1.2))</f>
        <v>-1.5</v>
      </c>
      <c r="F59" s="99">
        <f>IF(A&lt;=10, -2.6,
IF(A&lt;100, -2.6 + (-2 - -2.6) * (A-10)/(100-10),
-2))</f>
        <v>-2.6</v>
      </c>
      <c r="H59" s="94" t="s">
        <v>85</v>
      </c>
    </row>
    <row r="60" spans="2:8" ht="15.75" thickBot="1">
      <c r="B60" s="100"/>
      <c r="C60" s="125" t="s">
        <v>71</v>
      </c>
      <c r="D60" s="107">
        <f>IF(A&lt;=10, 0.5,
IF(A&lt;100, 0.5 + (0.3 - 0.5) * (A-10)/(100-10),
0.3))</f>
        <v>0.5</v>
      </c>
      <c r="E60" s="107">
        <f>IF(A&lt;=10, 0.5,
IF(A&lt;100, 0.5 + (0.3 - 0.5) * (A-10)/(100-10),
0.3))</f>
        <v>0.5</v>
      </c>
      <c r="F60" s="101">
        <f>IF(A&lt;=10, 0.5,
IF(A&lt;100, 0.5 + (0.3 - 0.5) * (A-10)/(100-10),
0.3))</f>
        <v>0.5</v>
      </c>
      <c r="H60" s="94" t="s">
        <v>84</v>
      </c>
    </row>
    <row r="62" spans="2:8">
      <c r="B62" s="94" t="s">
        <v>73</v>
      </c>
    </row>
    <row r="63" spans="2:8" ht="15.75" thickBot="1"/>
    <row r="64" spans="2:8">
      <c r="B64" s="95" t="s">
        <v>70</v>
      </c>
      <c r="C64" s="102"/>
      <c r="D64" s="102"/>
      <c r="E64" s="102"/>
      <c r="F64" s="96"/>
    </row>
    <row r="65" spans="2:6">
      <c r="B65" s="98"/>
      <c r="C65" s="113" t="s">
        <v>39</v>
      </c>
      <c r="D65" s="123" t="s">
        <v>12</v>
      </c>
      <c r="E65" s="114" t="s">
        <v>13</v>
      </c>
      <c r="F65" s="116" t="s">
        <v>14</v>
      </c>
    </row>
    <row r="66" spans="2:6">
      <c r="B66" s="98"/>
      <c r="C66" s="124" t="s">
        <v>72</v>
      </c>
      <c r="D66" s="106">
        <f>IF(A&lt;=10, -1,
IF(A&lt;100, -1 + (-0.8 - -1) * (A-10)/(100-10),
-0.8))</f>
        <v>-1</v>
      </c>
      <c r="E66" s="106">
        <f>IF(A&lt;=10, -1.2,
IF(A&lt;100, -1.2 + (-1 - -1.2) * (A-10)/(100-10),
-1))</f>
        <v>-1.2</v>
      </c>
      <c r="F66" s="126">
        <f>IF(A&lt;=10, -1.2,
IF(A&lt;100, -1.2 + (-1 - -1.2) * (A-10)/(100-10),
-1))</f>
        <v>-1.2</v>
      </c>
    </row>
    <row r="67" spans="2:6" ht="15.75" thickBot="1">
      <c r="B67" s="100"/>
      <c r="C67" s="125" t="s">
        <v>71</v>
      </c>
      <c r="D67" s="107">
        <f>IF(A&lt;=10, 0.9,
IF(A&lt;100, 0.9 + (0.8 - 0.9) * (A-10)/(100-10),
0.8))</f>
        <v>0.9</v>
      </c>
      <c r="E67" s="107">
        <f>IF(A&lt;=10, 0.9,
IF(A&lt;100, 0.9 + (0.8 - 0.9) * (A-10)/(100-10),
0.8))</f>
        <v>0.9</v>
      </c>
      <c r="F67" s="101">
        <f>IF(A&lt;=10, 0.9,
IF(A&lt;100, 0.9 + (0.8 - 0.9) * (A-10)/(100-10),
0.8))</f>
        <v>0.9</v>
      </c>
    </row>
  </sheetData>
  <sheetProtection sheet="1" objects="1" scenarios="1"/>
  <mergeCells count="4">
    <mergeCell ref="J5:L5"/>
    <mergeCell ref="I4:L4"/>
    <mergeCell ref="I3:L3"/>
    <mergeCell ref="I31:L3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4"/>
  <dimension ref="A1:S48"/>
  <sheetViews>
    <sheetView showGridLines="0" tabSelected="1" zoomScale="90" zoomScaleNormal="90" workbookViewId="0"/>
  </sheetViews>
  <sheetFormatPr defaultRowHeight="15"/>
  <cols>
    <col min="1" max="1" width="2.85546875" style="2" customWidth="1"/>
    <col min="2" max="2" width="8.5703125" style="2" customWidth="1"/>
    <col min="3" max="10" width="9.7109375" style="2" customWidth="1"/>
    <col min="11" max="11" width="8.5703125" style="2" customWidth="1"/>
    <col min="12" max="12" width="2.85546875" style="2" customWidth="1"/>
    <col min="13" max="13" width="6.85546875" style="2" customWidth="1"/>
    <col min="14" max="14" width="7.5703125" style="2" customWidth="1"/>
    <col min="15" max="19" width="9.140625" style="2" hidden="1" customWidth="1"/>
    <col min="20" max="20" width="0" style="2" hidden="1" customWidth="1"/>
    <col min="21" max="256" width="9.140625" style="2"/>
    <col min="257" max="257" width="2.85546875" style="2" customWidth="1"/>
    <col min="258" max="258" width="8.5703125" style="2" customWidth="1"/>
    <col min="259" max="266" width="9.7109375" style="2" customWidth="1"/>
    <col min="267" max="267" width="8.5703125" style="2" customWidth="1"/>
    <col min="268" max="268" width="2.85546875" style="2" customWidth="1"/>
    <col min="269" max="269" width="6.85546875" style="2" customWidth="1"/>
    <col min="270" max="270" width="7.5703125" style="2" customWidth="1"/>
    <col min="271" max="276" width="0" style="2" hidden="1" customWidth="1"/>
    <col min="277" max="512" width="9.140625" style="2"/>
    <col min="513" max="513" width="2.85546875" style="2" customWidth="1"/>
    <col min="514" max="514" width="8.5703125" style="2" customWidth="1"/>
    <col min="515" max="522" width="9.7109375" style="2" customWidth="1"/>
    <col min="523" max="523" width="8.5703125" style="2" customWidth="1"/>
    <col min="524" max="524" width="2.85546875" style="2" customWidth="1"/>
    <col min="525" max="525" width="6.85546875" style="2" customWidth="1"/>
    <col min="526" max="526" width="7.5703125" style="2" customWidth="1"/>
    <col min="527" max="532" width="0" style="2" hidden="1" customWidth="1"/>
    <col min="533" max="768" width="9.140625" style="2"/>
    <col min="769" max="769" width="2.85546875" style="2" customWidth="1"/>
    <col min="770" max="770" width="8.5703125" style="2" customWidth="1"/>
    <col min="771" max="778" width="9.7109375" style="2" customWidth="1"/>
    <col min="779" max="779" width="8.5703125" style="2" customWidth="1"/>
    <col min="780" max="780" width="2.85546875" style="2" customWidth="1"/>
    <col min="781" max="781" width="6.85546875" style="2" customWidth="1"/>
    <col min="782" max="782" width="7.5703125" style="2" customWidth="1"/>
    <col min="783" max="788" width="0" style="2" hidden="1" customWidth="1"/>
    <col min="789" max="1024" width="9.140625" style="2"/>
    <col min="1025" max="1025" width="2.85546875" style="2" customWidth="1"/>
    <col min="1026" max="1026" width="8.5703125" style="2" customWidth="1"/>
    <col min="1027" max="1034" width="9.7109375" style="2" customWidth="1"/>
    <col min="1035" max="1035" width="8.5703125" style="2" customWidth="1"/>
    <col min="1036" max="1036" width="2.85546875" style="2" customWidth="1"/>
    <col min="1037" max="1037" width="6.85546875" style="2" customWidth="1"/>
    <col min="1038" max="1038" width="7.5703125" style="2" customWidth="1"/>
    <col min="1039" max="1044" width="0" style="2" hidden="1" customWidth="1"/>
    <col min="1045" max="1280" width="9.140625" style="2"/>
    <col min="1281" max="1281" width="2.85546875" style="2" customWidth="1"/>
    <col min="1282" max="1282" width="8.5703125" style="2" customWidth="1"/>
    <col min="1283" max="1290" width="9.7109375" style="2" customWidth="1"/>
    <col min="1291" max="1291" width="8.5703125" style="2" customWidth="1"/>
    <col min="1292" max="1292" width="2.85546875" style="2" customWidth="1"/>
    <col min="1293" max="1293" width="6.85546875" style="2" customWidth="1"/>
    <col min="1294" max="1294" width="7.5703125" style="2" customWidth="1"/>
    <col min="1295" max="1300" width="0" style="2" hidden="1" customWidth="1"/>
    <col min="1301" max="1536" width="9.140625" style="2"/>
    <col min="1537" max="1537" width="2.85546875" style="2" customWidth="1"/>
    <col min="1538" max="1538" width="8.5703125" style="2" customWidth="1"/>
    <col min="1539" max="1546" width="9.7109375" style="2" customWidth="1"/>
    <col min="1547" max="1547" width="8.5703125" style="2" customWidth="1"/>
    <col min="1548" max="1548" width="2.85546875" style="2" customWidth="1"/>
    <col min="1549" max="1549" width="6.85546875" style="2" customWidth="1"/>
    <col min="1550" max="1550" width="7.5703125" style="2" customWidth="1"/>
    <col min="1551" max="1556" width="0" style="2" hidden="1" customWidth="1"/>
    <col min="1557" max="1792" width="9.140625" style="2"/>
    <col min="1793" max="1793" width="2.85546875" style="2" customWidth="1"/>
    <col min="1794" max="1794" width="8.5703125" style="2" customWidth="1"/>
    <col min="1795" max="1802" width="9.7109375" style="2" customWidth="1"/>
    <col min="1803" max="1803" width="8.5703125" style="2" customWidth="1"/>
    <col min="1804" max="1804" width="2.85546875" style="2" customWidth="1"/>
    <col min="1805" max="1805" width="6.85546875" style="2" customWidth="1"/>
    <col min="1806" max="1806" width="7.5703125" style="2" customWidth="1"/>
    <col min="1807" max="1812" width="0" style="2" hidden="1" customWidth="1"/>
    <col min="1813" max="2048" width="9.140625" style="2"/>
    <col min="2049" max="2049" width="2.85546875" style="2" customWidth="1"/>
    <col min="2050" max="2050" width="8.5703125" style="2" customWidth="1"/>
    <col min="2051" max="2058" width="9.7109375" style="2" customWidth="1"/>
    <col min="2059" max="2059" width="8.5703125" style="2" customWidth="1"/>
    <col min="2060" max="2060" width="2.85546875" style="2" customWidth="1"/>
    <col min="2061" max="2061" width="6.85546875" style="2" customWidth="1"/>
    <col min="2062" max="2062" width="7.5703125" style="2" customWidth="1"/>
    <col min="2063" max="2068" width="0" style="2" hidden="1" customWidth="1"/>
    <col min="2069" max="2304" width="9.140625" style="2"/>
    <col min="2305" max="2305" width="2.85546875" style="2" customWidth="1"/>
    <col min="2306" max="2306" width="8.5703125" style="2" customWidth="1"/>
    <col min="2307" max="2314" width="9.7109375" style="2" customWidth="1"/>
    <col min="2315" max="2315" width="8.5703125" style="2" customWidth="1"/>
    <col min="2316" max="2316" width="2.85546875" style="2" customWidth="1"/>
    <col min="2317" max="2317" width="6.85546875" style="2" customWidth="1"/>
    <col min="2318" max="2318" width="7.5703125" style="2" customWidth="1"/>
    <col min="2319" max="2324" width="0" style="2" hidden="1" customWidth="1"/>
    <col min="2325" max="2560" width="9.140625" style="2"/>
    <col min="2561" max="2561" width="2.85546875" style="2" customWidth="1"/>
    <col min="2562" max="2562" width="8.5703125" style="2" customWidth="1"/>
    <col min="2563" max="2570" width="9.7109375" style="2" customWidth="1"/>
    <col min="2571" max="2571" width="8.5703125" style="2" customWidth="1"/>
    <col min="2572" max="2572" width="2.85546875" style="2" customWidth="1"/>
    <col min="2573" max="2573" width="6.85546875" style="2" customWidth="1"/>
    <col min="2574" max="2574" width="7.5703125" style="2" customWidth="1"/>
    <col min="2575" max="2580" width="0" style="2" hidden="1" customWidth="1"/>
    <col min="2581" max="2816" width="9.140625" style="2"/>
    <col min="2817" max="2817" width="2.85546875" style="2" customWidth="1"/>
    <col min="2818" max="2818" width="8.5703125" style="2" customWidth="1"/>
    <col min="2819" max="2826" width="9.7109375" style="2" customWidth="1"/>
    <col min="2827" max="2827" width="8.5703125" style="2" customWidth="1"/>
    <col min="2828" max="2828" width="2.85546875" style="2" customWidth="1"/>
    <col min="2829" max="2829" width="6.85546875" style="2" customWidth="1"/>
    <col min="2830" max="2830" width="7.5703125" style="2" customWidth="1"/>
    <col min="2831" max="2836" width="0" style="2" hidden="1" customWidth="1"/>
    <col min="2837" max="3072" width="9.140625" style="2"/>
    <col min="3073" max="3073" width="2.85546875" style="2" customWidth="1"/>
    <col min="3074" max="3074" width="8.5703125" style="2" customWidth="1"/>
    <col min="3075" max="3082" width="9.7109375" style="2" customWidth="1"/>
    <col min="3083" max="3083" width="8.5703125" style="2" customWidth="1"/>
    <col min="3084" max="3084" width="2.85546875" style="2" customWidth="1"/>
    <col min="3085" max="3085" width="6.85546875" style="2" customWidth="1"/>
    <col min="3086" max="3086" width="7.5703125" style="2" customWidth="1"/>
    <col min="3087" max="3092" width="0" style="2" hidden="1" customWidth="1"/>
    <col min="3093" max="3328" width="9.140625" style="2"/>
    <col min="3329" max="3329" width="2.85546875" style="2" customWidth="1"/>
    <col min="3330" max="3330" width="8.5703125" style="2" customWidth="1"/>
    <col min="3331" max="3338" width="9.7109375" style="2" customWidth="1"/>
    <col min="3339" max="3339" width="8.5703125" style="2" customWidth="1"/>
    <col min="3340" max="3340" width="2.85546875" style="2" customWidth="1"/>
    <col min="3341" max="3341" width="6.85546875" style="2" customWidth="1"/>
    <col min="3342" max="3342" width="7.5703125" style="2" customWidth="1"/>
    <col min="3343" max="3348" width="0" style="2" hidden="1" customWidth="1"/>
    <col min="3349" max="3584" width="9.140625" style="2"/>
    <col min="3585" max="3585" width="2.85546875" style="2" customWidth="1"/>
    <col min="3586" max="3586" width="8.5703125" style="2" customWidth="1"/>
    <col min="3587" max="3594" width="9.7109375" style="2" customWidth="1"/>
    <col min="3595" max="3595" width="8.5703125" style="2" customWidth="1"/>
    <col min="3596" max="3596" width="2.85546875" style="2" customWidth="1"/>
    <col min="3597" max="3597" width="6.85546875" style="2" customWidth="1"/>
    <col min="3598" max="3598" width="7.5703125" style="2" customWidth="1"/>
    <col min="3599" max="3604" width="0" style="2" hidden="1" customWidth="1"/>
    <col min="3605" max="3840" width="9.140625" style="2"/>
    <col min="3841" max="3841" width="2.85546875" style="2" customWidth="1"/>
    <col min="3842" max="3842" width="8.5703125" style="2" customWidth="1"/>
    <col min="3843" max="3850" width="9.7109375" style="2" customWidth="1"/>
    <col min="3851" max="3851" width="8.5703125" style="2" customWidth="1"/>
    <col min="3852" max="3852" width="2.85546875" style="2" customWidth="1"/>
    <col min="3853" max="3853" width="6.85546875" style="2" customWidth="1"/>
    <col min="3854" max="3854" width="7.5703125" style="2" customWidth="1"/>
    <col min="3855" max="3860" width="0" style="2" hidden="1" customWidth="1"/>
    <col min="3861" max="4096" width="9.140625" style="2"/>
    <col min="4097" max="4097" width="2.85546875" style="2" customWidth="1"/>
    <col min="4098" max="4098" width="8.5703125" style="2" customWidth="1"/>
    <col min="4099" max="4106" width="9.7109375" style="2" customWidth="1"/>
    <col min="4107" max="4107" width="8.5703125" style="2" customWidth="1"/>
    <col min="4108" max="4108" width="2.85546875" style="2" customWidth="1"/>
    <col min="4109" max="4109" width="6.85546875" style="2" customWidth="1"/>
    <col min="4110" max="4110" width="7.5703125" style="2" customWidth="1"/>
    <col min="4111" max="4116" width="0" style="2" hidden="1" customWidth="1"/>
    <col min="4117" max="4352" width="9.140625" style="2"/>
    <col min="4353" max="4353" width="2.85546875" style="2" customWidth="1"/>
    <col min="4354" max="4354" width="8.5703125" style="2" customWidth="1"/>
    <col min="4355" max="4362" width="9.7109375" style="2" customWidth="1"/>
    <col min="4363" max="4363" width="8.5703125" style="2" customWidth="1"/>
    <col min="4364" max="4364" width="2.85546875" style="2" customWidth="1"/>
    <col min="4365" max="4365" width="6.85546875" style="2" customWidth="1"/>
    <col min="4366" max="4366" width="7.5703125" style="2" customWidth="1"/>
    <col min="4367" max="4372" width="0" style="2" hidden="1" customWidth="1"/>
    <col min="4373" max="4608" width="9.140625" style="2"/>
    <col min="4609" max="4609" width="2.85546875" style="2" customWidth="1"/>
    <col min="4610" max="4610" width="8.5703125" style="2" customWidth="1"/>
    <col min="4611" max="4618" width="9.7109375" style="2" customWidth="1"/>
    <col min="4619" max="4619" width="8.5703125" style="2" customWidth="1"/>
    <col min="4620" max="4620" width="2.85546875" style="2" customWidth="1"/>
    <col min="4621" max="4621" width="6.85546875" style="2" customWidth="1"/>
    <col min="4622" max="4622" width="7.5703125" style="2" customWidth="1"/>
    <col min="4623" max="4628" width="0" style="2" hidden="1" customWidth="1"/>
    <col min="4629" max="4864" width="9.140625" style="2"/>
    <col min="4865" max="4865" width="2.85546875" style="2" customWidth="1"/>
    <col min="4866" max="4866" width="8.5703125" style="2" customWidth="1"/>
    <col min="4867" max="4874" width="9.7109375" style="2" customWidth="1"/>
    <col min="4875" max="4875" width="8.5703125" style="2" customWidth="1"/>
    <col min="4876" max="4876" width="2.85546875" style="2" customWidth="1"/>
    <col min="4877" max="4877" width="6.85546875" style="2" customWidth="1"/>
    <col min="4878" max="4878" width="7.5703125" style="2" customWidth="1"/>
    <col min="4879" max="4884" width="0" style="2" hidden="1" customWidth="1"/>
    <col min="4885" max="5120" width="9.140625" style="2"/>
    <col min="5121" max="5121" width="2.85546875" style="2" customWidth="1"/>
    <col min="5122" max="5122" width="8.5703125" style="2" customWidth="1"/>
    <col min="5123" max="5130" width="9.7109375" style="2" customWidth="1"/>
    <col min="5131" max="5131" width="8.5703125" style="2" customWidth="1"/>
    <col min="5132" max="5132" width="2.85546875" style="2" customWidth="1"/>
    <col min="5133" max="5133" width="6.85546875" style="2" customWidth="1"/>
    <col min="5134" max="5134" width="7.5703125" style="2" customWidth="1"/>
    <col min="5135" max="5140" width="0" style="2" hidden="1" customWidth="1"/>
    <col min="5141" max="5376" width="9.140625" style="2"/>
    <col min="5377" max="5377" width="2.85546875" style="2" customWidth="1"/>
    <col min="5378" max="5378" width="8.5703125" style="2" customWidth="1"/>
    <col min="5379" max="5386" width="9.7109375" style="2" customWidth="1"/>
    <col min="5387" max="5387" width="8.5703125" style="2" customWidth="1"/>
    <col min="5388" max="5388" width="2.85546875" style="2" customWidth="1"/>
    <col min="5389" max="5389" width="6.85546875" style="2" customWidth="1"/>
    <col min="5390" max="5390" width="7.5703125" style="2" customWidth="1"/>
    <col min="5391" max="5396" width="0" style="2" hidden="1" customWidth="1"/>
    <col min="5397" max="5632" width="9.140625" style="2"/>
    <col min="5633" max="5633" width="2.85546875" style="2" customWidth="1"/>
    <col min="5634" max="5634" width="8.5703125" style="2" customWidth="1"/>
    <col min="5635" max="5642" width="9.7109375" style="2" customWidth="1"/>
    <col min="5643" max="5643" width="8.5703125" style="2" customWidth="1"/>
    <col min="5644" max="5644" width="2.85546875" style="2" customWidth="1"/>
    <col min="5645" max="5645" width="6.85546875" style="2" customWidth="1"/>
    <col min="5646" max="5646" width="7.5703125" style="2" customWidth="1"/>
    <col min="5647" max="5652" width="0" style="2" hidden="1" customWidth="1"/>
    <col min="5653" max="5888" width="9.140625" style="2"/>
    <col min="5889" max="5889" width="2.85546875" style="2" customWidth="1"/>
    <col min="5890" max="5890" width="8.5703125" style="2" customWidth="1"/>
    <col min="5891" max="5898" width="9.7109375" style="2" customWidth="1"/>
    <col min="5899" max="5899" width="8.5703125" style="2" customWidth="1"/>
    <col min="5900" max="5900" width="2.85546875" style="2" customWidth="1"/>
    <col min="5901" max="5901" width="6.85546875" style="2" customWidth="1"/>
    <col min="5902" max="5902" width="7.5703125" style="2" customWidth="1"/>
    <col min="5903" max="5908" width="0" style="2" hidden="1" customWidth="1"/>
    <col min="5909" max="6144" width="9.140625" style="2"/>
    <col min="6145" max="6145" width="2.85546875" style="2" customWidth="1"/>
    <col min="6146" max="6146" width="8.5703125" style="2" customWidth="1"/>
    <col min="6147" max="6154" width="9.7109375" style="2" customWidth="1"/>
    <col min="6155" max="6155" width="8.5703125" style="2" customWidth="1"/>
    <col min="6156" max="6156" width="2.85546875" style="2" customWidth="1"/>
    <col min="6157" max="6157" width="6.85546875" style="2" customWidth="1"/>
    <col min="6158" max="6158" width="7.5703125" style="2" customWidth="1"/>
    <col min="6159" max="6164" width="0" style="2" hidden="1" customWidth="1"/>
    <col min="6165" max="6400" width="9.140625" style="2"/>
    <col min="6401" max="6401" width="2.85546875" style="2" customWidth="1"/>
    <col min="6402" max="6402" width="8.5703125" style="2" customWidth="1"/>
    <col min="6403" max="6410" width="9.7109375" style="2" customWidth="1"/>
    <col min="6411" max="6411" width="8.5703125" style="2" customWidth="1"/>
    <col min="6412" max="6412" width="2.85546875" style="2" customWidth="1"/>
    <col min="6413" max="6413" width="6.85546875" style="2" customWidth="1"/>
    <col min="6414" max="6414" width="7.5703125" style="2" customWidth="1"/>
    <col min="6415" max="6420" width="0" style="2" hidden="1" customWidth="1"/>
    <col min="6421" max="6656" width="9.140625" style="2"/>
    <col min="6657" max="6657" width="2.85546875" style="2" customWidth="1"/>
    <col min="6658" max="6658" width="8.5703125" style="2" customWidth="1"/>
    <col min="6659" max="6666" width="9.7109375" style="2" customWidth="1"/>
    <col min="6667" max="6667" width="8.5703125" style="2" customWidth="1"/>
    <col min="6668" max="6668" width="2.85546875" style="2" customWidth="1"/>
    <col min="6669" max="6669" width="6.85546875" style="2" customWidth="1"/>
    <col min="6670" max="6670" width="7.5703125" style="2" customWidth="1"/>
    <col min="6671" max="6676" width="0" style="2" hidden="1" customWidth="1"/>
    <col min="6677" max="6912" width="9.140625" style="2"/>
    <col min="6913" max="6913" width="2.85546875" style="2" customWidth="1"/>
    <col min="6914" max="6914" width="8.5703125" style="2" customWidth="1"/>
    <col min="6915" max="6922" width="9.7109375" style="2" customWidth="1"/>
    <col min="6923" max="6923" width="8.5703125" style="2" customWidth="1"/>
    <col min="6924" max="6924" width="2.85546875" style="2" customWidth="1"/>
    <col min="6925" max="6925" width="6.85546875" style="2" customWidth="1"/>
    <col min="6926" max="6926" width="7.5703125" style="2" customWidth="1"/>
    <col min="6927" max="6932" width="0" style="2" hidden="1" customWidth="1"/>
    <col min="6933" max="7168" width="9.140625" style="2"/>
    <col min="7169" max="7169" width="2.85546875" style="2" customWidth="1"/>
    <col min="7170" max="7170" width="8.5703125" style="2" customWidth="1"/>
    <col min="7171" max="7178" width="9.7109375" style="2" customWidth="1"/>
    <col min="7179" max="7179" width="8.5703125" style="2" customWidth="1"/>
    <col min="7180" max="7180" width="2.85546875" style="2" customWidth="1"/>
    <col min="7181" max="7181" width="6.85546875" style="2" customWidth="1"/>
    <col min="7182" max="7182" width="7.5703125" style="2" customWidth="1"/>
    <col min="7183" max="7188" width="0" style="2" hidden="1" customWidth="1"/>
    <col min="7189" max="7424" width="9.140625" style="2"/>
    <col min="7425" max="7425" width="2.85546875" style="2" customWidth="1"/>
    <col min="7426" max="7426" width="8.5703125" style="2" customWidth="1"/>
    <col min="7427" max="7434" width="9.7109375" style="2" customWidth="1"/>
    <col min="7435" max="7435" width="8.5703125" style="2" customWidth="1"/>
    <col min="7436" max="7436" width="2.85546875" style="2" customWidth="1"/>
    <col min="7437" max="7437" width="6.85546875" style="2" customWidth="1"/>
    <col min="7438" max="7438" width="7.5703125" style="2" customWidth="1"/>
    <col min="7439" max="7444" width="0" style="2" hidden="1" customWidth="1"/>
    <col min="7445" max="7680" width="9.140625" style="2"/>
    <col min="7681" max="7681" width="2.85546875" style="2" customWidth="1"/>
    <col min="7682" max="7682" width="8.5703125" style="2" customWidth="1"/>
    <col min="7683" max="7690" width="9.7109375" style="2" customWidth="1"/>
    <col min="7691" max="7691" width="8.5703125" style="2" customWidth="1"/>
    <col min="7692" max="7692" width="2.85546875" style="2" customWidth="1"/>
    <col min="7693" max="7693" width="6.85546875" style="2" customWidth="1"/>
    <col min="7694" max="7694" width="7.5703125" style="2" customWidth="1"/>
    <col min="7695" max="7700" width="0" style="2" hidden="1" customWidth="1"/>
    <col min="7701" max="7936" width="9.140625" style="2"/>
    <col min="7937" max="7937" width="2.85546875" style="2" customWidth="1"/>
    <col min="7938" max="7938" width="8.5703125" style="2" customWidth="1"/>
    <col min="7939" max="7946" width="9.7109375" style="2" customWidth="1"/>
    <col min="7947" max="7947" width="8.5703125" style="2" customWidth="1"/>
    <col min="7948" max="7948" width="2.85546875" style="2" customWidth="1"/>
    <col min="7949" max="7949" width="6.85546875" style="2" customWidth="1"/>
    <col min="7950" max="7950" width="7.5703125" style="2" customWidth="1"/>
    <col min="7951" max="7956" width="0" style="2" hidden="1" customWidth="1"/>
    <col min="7957" max="8192" width="9.140625" style="2"/>
    <col min="8193" max="8193" width="2.85546875" style="2" customWidth="1"/>
    <col min="8194" max="8194" width="8.5703125" style="2" customWidth="1"/>
    <col min="8195" max="8202" width="9.7109375" style="2" customWidth="1"/>
    <col min="8203" max="8203" width="8.5703125" style="2" customWidth="1"/>
    <col min="8204" max="8204" width="2.85546875" style="2" customWidth="1"/>
    <col min="8205" max="8205" width="6.85546875" style="2" customWidth="1"/>
    <col min="8206" max="8206" width="7.5703125" style="2" customWidth="1"/>
    <col min="8207" max="8212" width="0" style="2" hidden="1" customWidth="1"/>
    <col min="8213" max="8448" width="9.140625" style="2"/>
    <col min="8449" max="8449" width="2.85546875" style="2" customWidth="1"/>
    <col min="8450" max="8450" width="8.5703125" style="2" customWidth="1"/>
    <col min="8451" max="8458" width="9.7109375" style="2" customWidth="1"/>
    <col min="8459" max="8459" width="8.5703125" style="2" customWidth="1"/>
    <col min="8460" max="8460" width="2.85546875" style="2" customWidth="1"/>
    <col min="8461" max="8461" width="6.85546875" style="2" customWidth="1"/>
    <col min="8462" max="8462" width="7.5703125" style="2" customWidth="1"/>
    <col min="8463" max="8468" width="0" style="2" hidden="1" customWidth="1"/>
    <col min="8469" max="8704" width="9.140625" style="2"/>
    <col min="8705" max="8705" width="2.85546875" style="2" customWidth="1"/>
    <col min="8706" max="8706" width="8.5703125" style="2" customWidth="1"/>
    <col min="8707" max="8714" width="9.7109375" style="2" customWidth="1"/>
    <col min="8715" max="8715" width="8.5703125" style="2" customWidth="1"/>
    <col min="8716" max="8716" width="2.85546875" style="2" customWidth="1"/>
    <col min="8717" max="8717" width="6.85546875" style="2" customWidth="1"/>
    <col min="8718" max="8718" width="7.5703125" style="2" customWidth="1"/>
    <col min="8719" max="8724" width="0" style="2" hidden="1" customWidth="1"/>
    <col min="8725" max="8960" width="9.140625" style="2"/>
    <col min="8961" max="8961" width="2.85546875" style="2" customWidth="1"/>
    <col min="8962" max="8962" width="8.5703125" style="2" customWidth="1"/>
    <col min="8963" max="8970" width="9.7109375" style="2" customWidth="1"/>
    <col min="8971" max="8971" width="8.5703125" style="2" customWidth="1"/>
    <col min="8972" max="8972" width="2.85546875" style="2" customWidth="1"/>
    <col min="8973" max="8973" width="6.85546875" style="2" customWidth="1"/>
    <col min="8974" max="8974" width="7.5703125" style="2" customWidth="1"/>
    <col min="8975" max="8980" width="0" style="2" hidden="1" customWidth="1"/>
    <col min="8981" max="9216" width="9.140625" style="2"/>
    <col min="9217" max="9217" width="2.85546875" style="2" customWidth="1"/>
    <col min="9218" max="9218" width="8.5703125" style="2" customWidth="1"/>
    <col min="9219" max="9226" width="9.7109375" style="2" customWidth="1"/>
    <col min="9227" max="9227" width="8.5703125" style="2" customWidth="1"/>
    <col min="9228" max="9228" width="2.85546875" style="2" customWidth="1"/>
    <col min="9229" max="9229" width="6.85546875" style="2" customWidth="1"/>
    <col min="9230" max="9230" width="7.5703125" style="2" customWidth="1"/>
    <col min="9231" max="9236" width="0" style="2" hidden="1" customWidth="1"/>
    <col min="9237" max="9472" width="9.140625" style="2"/>
    <col min="9473" max="9473" width="2.85546875" style="2" customWidth="1"/>
    <col min="9474" max="9474" width="8.5703125" style="2" customWidth="1"/>
    <col min="9475" max="9482" width="9.7109375" style="2" customWidth="1"/>
    <col min="9483" max="9483" width="8.5703125" style="2" customWidth="1"/>
    <col min="9484" max="9484" width="2.85546875" style="2" customWidth="1"/>
    <col min="9485" max="9485" width="6.85546875" style="2" customWidth="1"/>
    <col min="9486" max="9486" width="7.5703125" style="2" customWidth="1"/>
    <col min="9487" max="9492" width="0" style="2" hidden="1" customWidth="1"/>
    <col min="9493" max="9728" width="9.140625" style="2"/>
    <col min="9729" max="9729" width="2.85546875" style="2" customWidth="1"/>
    <col min="9730" max="9730" width="8.5703125" style="2" customWidth="1"/>
    <col min="9731" max="9738" width="9.7109375" style="2" customWidth="1"/>
    <col min="9739" max="9739" width="8.5703125" style="2" customWidth="1"/>
    <col min="9740" max="9740" width="2.85546875" style="2" customWidth="1"/>
    <col min="9741" max="9741" width="6.85546875" style="2" customWidth="1"/>
    <col min="9742" max="9742" width="7.5703125" style="2" customWidth="1"/>
    <col min="9743" max="9748" width="0" style="2" hidden="1" customWidth="1"/>
    <col min="9749" max="9984" width="9.140625" style="2"/>
    <col min="9985" max="9985" width="2.85546875" style="2" customWidth="1"/>
    <col min="9986" max="9986" width="8.5703125" style="2" customWidth="1"/>
    <col min="9987" max="9994" width="9.7109375" style="2" customWidth="1"/>
    <col min="9995" max="9995" width="8.5703125" style="2" customWidth="1"/>
    <col min="9996" max="9996" width="2.85546875" style="2" customWidth="1"/>
    <col min="9997" max="9997" width="6.85546875" style="2" customWidth="1"/>
    <col min="9998" max="9998" width="7.5703125" style="2" customWidth="1"/>
    <col min="9999" max="10004" width="0" style="2" hidden="1" customWidth="1"/>
    <col min="10005" max="10240" width="9.140625" style="2"/>
    <col min="10241" max="10241" width="2.85546875" style="2" customWidth="1"/>
    <col min="10242" max="10242" width="8.5703125" style="2" customWidth="1"/>
    <col min="10243" max="10250" width="9.7109375" style="2" customWidth="1"/>
    <col min="10251" max="10251" width="8.5703125" style="2" customWidth="1"/>
    <col min="10252" max="10252" width="2.85546875" style="2" customWidth="1"/>
    <col min="10253" max="10253" width="6.85546875" style="2" customWidth="1"/>
    <col min="10254" max="10254" width="7.5703125" style="2" customWidth="1"/>
    <col min="10255" max="10260" width="0" style="2" hidden="1" customWidth="1"/>
    <col min="10261" max="10496" width="9.140625" style="2"/>
    <col min="10497" max="10497" width="2.85546875" style="2" customWidth="1"/>
    <col min="10498" max="10498" width="8.5703125" style="2" customWidth="1"/>
    <col min="10499" max="10506" width="9.7109375" style="2" customWidth="1"/>
    <col min="10507" max="10507" width="8.5703125" style="2" customWidth="1"/>
    <col min="10508" max="10508" width="2.85546875" style="2" customWidth="1"/>
    <col min="10509" max="10509" width="6.85546875" style="2" customWidth="1"/>
    <col min="10510" max="10510" width="7.5703125" style="2" customWidth="1"/>
    <col min="10511" max="10516" width="0" style="2" hidden="1" customWidth="1"/>
    <col min="10517" max="10752" width="9.140625" style="2"/>
    <col min="10753" max="10753" width="2.85546875" style="2" customWidth="1"/>
    <col min="10754" max="10754" width="8.5703125" style="2" customWidth="1"/>
    <col min="10755" max="10762" width="9.7109375" style="2" customWidth="1"/>
    <col min="10763" max="10763" width="8.5703125" style="2" customWidth="1"/>
    <col min="10764" max="10764" width="2.85546875" style="2" customWidth="1"/>
    <col min="10765" max="10765" width="6.85546875" style="2" customWidth="1"/>
    <col min="10766" max="10766" width="7.5703125" style="2" customWidth="1"/>
    <col min="10767" max="10772" width="0" style="2" hidden="1" customWidth="1"/>
    <col min="10773" max="11008" width="9.140625" style="2"/>
    <col min="11009" max="11009" width="2.85546875" style="2" customWidth="1"/>
    <col min="11010" max="11010" width="8.5703125" style="2" customWidth="1"/>
    <col min="11011" max="11018" width="9.7109375" style="2" customWidth="1"/>
    <col min="11019" max="11019" width="8.5703125" style="2" customWidth="1"/>
    <col min="11020" max="11020" width="2.85546875" style="2" customWidth="1"/>
    <col min="11021" max="11021" width="6.85546875" style="2" customWidth="1"/>
    <col min="11022" max="11022" width="7.5703125" style="2" customWidth="1"/>
    <col min="11023" max="11028" width="0" style="2" hidden="1" customWidth="1"/>
    <col min="11029" max="11264" width="9.140625" style="2"/>
    <col min="11265" max="11265" width="2.85546875" style="2" customWidth="1"/>
    <col min="11266" max="11266" width="8.5703125" style="2" customWidth="1"/>
    <col min="11267" max="11274" width="9.7109375" style="2" customWidth="1"/>
    <col min="11275" max="11275" width="8.5703125" style="2" customWidth="1"/>
    <col min="11276" max="11276" width="2.85546875" style="2" customWidth="1"/>
    <col min="11277" max="11277" width="6.85546875" style="2" customWidth="1"/>
    <col min="11278" max="11278" width="7.5703125" style="2" customWidth="1"/>
    <col min="11279" max="11284" width="0" style="2" hidden="1" customWidth="1"/>
    <col min="11285" max="11520" width="9.140625" style="2"/>
    <col min="11521" max="11521" width="2.85546875" style="2" customWidth="1"/>
    <col min="11522" max="11522" width="8.5703125" style="2" customWidth="1"/>
    <col min="11523" max="11530" width="9.7109375" style="2" customWidth="1"/>
    <col min="11531" max="11531" width="8.5703125" style="2" customWidth="1"/>
    <col min="11532" max="11532" width="2.85546875" style="2" customWidth="1"/>
    <col min="11533" max="11533" width="6.85546875" style="2" customWidth="1"/>
    <col min="11534" max="11534" width="7.5703125" style="2" customWidth="1"/>
    <col min="11535" max="11540" width="0" style="2" hidden="1" customWidth="1"/>
    <col min="11541" max="11776" width="9.140625" style="2"/>
    <col min="11777" max="11777" width="2.85546875" style="2" customWidth="1"/>
    <col min="11778" max="11778" width="8.5703125" style="2" customWidth="1"/>
    <col min="11779" max="11786" width="9.7109375" style="2" customWidth="1"/>
    <col min="11787" max="11787" width="8.5703125" style="2" customWidth="1"/>
    <col min="11788" max="11788" width="2.85546875" style="2" customWidth="1"/>
    <col min="11789" max="11789" width="6.85546875" style="2" customWidth="1"/>
    <col min="11790" max="11790" width="7.5703125" style="2" customWidth="1"/>
    <col min="11791" max="11796" width="0" style="2" hidden="1" customWidth="1"/>
    <col min="11797" max="12032" width="9.140625" style="2"/>
    <col min="12033" max="12033" width="2.85546875" style="2" customWidth="1"/>
    <col min="12034" max="12034" width="8.5703125" style="2" customWidth="1"/>
    <col min="12035" max="12042" width="9.7109375" style="2" customWidth="1"/>
    <col min="12043" max="12043" width="8.5703125" style="2" customWidth="1"/>
    <col min="12044" max="12044" width="2.85546875" style="2" customWidth="1"/>
    <col min="12045" max="12045" width="6.85546875" style="2" customWidth="1"/>
    <col min="12046" max="12046" width="7.5703125" style="2" customWidth="1"/>
    <col min="12047" max="12052" width="0" style="2" hidden="1" customWidth="1"/>
    <col min="12053" max="12288" width="9.140625" style="2"/>
    <col min="12289" max="12289" width="2.85546875" style="2" customWidth="1"/>
    <col min="12290" max="12290" width="8.5703125" style="2" customWidth="1"/>
    <col min="12291" max="12298" width="9.7109375" style="2" customWidth="1"/>
    <col min="12299" max="12299" width="8.5703125" style="2" customWidth="1"/>
    <col min="12300" max="12300" width="2.85546875" style="2" customWidth="1"/>
    <col min="12301" max="12301" width="6.85546875" style="2" customWidth="1"/>
    <col min="12302" max="12302" width="7.5703125" style="2" customWidth="1"/>
    <col min="12303" max="12308" width="0" style="2" hidden="1" customWidth="1"/>
    <col min="12309" max="12544" width="9.140625" style="2"/>
    <col min="12545" max="12545" width="2.85546875" style="2" customWidth="1"/>
    <col min="12546" max="12546" width="8.5703125" style="2" customWidth="1"/>
    <col min="12547" max="12554" width="9.7109375" style="2" customWidth="1"/>
    <col min="12555" max="12555" width="8.5703125" style="2" customWidth="1"/>
    <col min="12556" max="12556" width="2.85546875" style="2" customWidth="1"/>
    <col min="12557" max="12557" width="6.85546875" style="2" customWidth="1"/>
    <col min="12558" max="12558" width="7.5703125" style="2" customWidth="1"/>
    <col min="12559" max="12564" width="0" style="2" hidden="1" customWidth="1"/>
    <col min="12565" max="12800" width="9.140625" style="2"/>
    <col min="12801" max="12801" width="2.85546875" style="2" customWidth="1"/>
    <col min="12802" max="12802" width="8.5703125" style="2" customWidth="1"/>
    <col min="12803" max="12810" width="9.7109375" style="2" customWidth="1"/>
    <col min="12811" max="12811" width="8.5703125" style="2" customWidth="1"/>
    <col min="12812" max="12812" width="2.85546875" style="2" customWidth="1"/>
    <col min="12813" max="12813" width="6.85546875" style="2" customWidth="1"/>
    <col min="12814" max="12814" width="7.5703125" style="2" customWidth="1"/>
    <col min="12815" max="12820" width="0" style="2" hidden="1" customWidth="1"/>
    <col min="12821" max="13056" width="9.140625" style="2"/>
    <col min="13057" max="13057" width="2.85546875" style="2" customWidth="1"/>
    <col min="13058" max="13058" width="8.5703125" style="2" customWidth="1"/>
    <col min="13059" max="13066" width="9.7109375" style="2" customWidth="1"/>
    <col min="13067" max="13067" width="8.5703125" style="2" customWidth="1"/>
    <col min="13068" max="13068" width="2.85546875" style="2" customWidth="1"/>
    <col min="13069" max="13069" width="6.85546875" style="2" customWidth="1"/>
    <col min="13070" max="13070" width="7.5703125" style="2" customWidth="1"/>
    <col min="13071" max="13076" width="0" style="2" hidden="1" customWidth="1"/>
    <col min="13077" max="13312" width="9.140625" style="2"/>
    <col min="13313" max="13313" width="2.85546875" style="2" customWidth="1"/>
    <col min="13314" max="13314" width="8.5703125" style="2" customWidth="1"/>
    <col min="13315" max="13322" width="9.7109375" style="2" customWidth="1"/>
    <col min="13323" max="13323" width="8.5703125" style="2" customWidth="1"/>
    <col min="13324" max="13324" width="2.85546875" style="2" customWidth="1"/>
    <col min="13325" max="13325" width="6.85546875" style="2" customWidth="1"/>
    <col min="13326" max="13326" width="7.5703125" style="2" customWidth="1"/>
    <col min="13327" max="13332" width="0" style="2" hidden="1" customWidth="1"/>
    <col min="13333" max="13568" width="9.140625" style="2"/>
    <col min="13569" max="13569" width="2.85546875" style="2" customWidth="1"/>
    <col min="13570" max="13570" width="8.5703125" style="2" customWidth="1"/>
    <col min="13571" max="13578" width="9.7109375" style="2" customWidth="1"/>
    <col min="13579" max="13579" width="8.5703125" style="2" customWidth="1"/>
    <col min="13580" max="13580" width="2.85546875" style="2" customWidth="1"/>
    <col min="13581" max="13581" width="6.85546875" style="2" customWidth="1"/>
    <col min="13582" max="13582" width="7.5703125" style="2" customWidth="1"/>
    <col min="13583" max="13588" width="0" style="2" hidden="1" customWidth="1"/>
    <col min="13589" max="13824" width="9.140625" style="2"/>
    <col min="13825" max="13825" width="2.85546875" style="2" customWidth="1"/>
    <col min="13826" max="13826" width="8.5703125" style="2" customWidth="1"/>
    <col min="13827" max="13834" width="9.7109375" style="2" customWidth="1"/>
    <col min="13835" max="13835" width="8.5703125" style="2" customWidth="1"/>
    <col min="13836" max="13836" width="2.85546875" style="2" customWidth="1"/>
    <col min="13837" max="13837" width="6.85546875" style="2" customWidth="1"/>
    <col min="13838" max="13838" width="7.5703125" style="2" customWidth="1"/>
    <col min="13839" max="13844" width="0" style="2" hidden="1" customWidth="1"/>
    <col min="13845" max="14080" width="9.140625" style="2"/>
    <col min="14081" max="14081" width="2.85546875" style="2" customWidth="1"/>
    <col min="14082" max="14082" width="8.5703125" style="2" customWidth="1"/>
    <col min="14083" max="14090" width="9.7109375" style="2" customWidth="1"/>
    <col min="14091" max="14091" width="8.5703125" style="2" customWidth="1"/>
    <col min="14092" max="14092" width="2.85546875" style="2" customWidth="1"/>
    <col min="14093" max="14093" width="6.85546875" style="2" customWidth="1"/>
    <col min="14094" max="14094" width="7.5703125" style="2" customWidth="1"/>
    <col min="14095" max="14100" width="0" style="2" hidden="1" customWidth="1"/>
    <col min="14101" max="14336" width="9.140625" style="2"/>
    <col min="14337" max="14337" width="2.85546875" style="2" customWidth="1"/>
    <col min="14338" max="14338" width="8.5703125" style="2" customWidth="1"/>
    <col min="14339" max="14346" width="9.7109375" style="2" customWidth="1"/>
    <col min="14347" max="14347" width="8.5703125" style="2" customWidth="1"/>
    <col min="14348" max="14348" width="2.85546875" style="2" customWidth="1"/>
    <col min="14349" max="14349" width="6.85546875" style="2" customWidth="1"/>
    <col min="14350" max="14350" width="7.5703125" style="2" customWidth="1"/>
    <col min="14351" max="14356" width="0" style="2" hidden="1" customWidth="1"/>
    <col min="14357" max="14592" width="9.140625" style="2"/>
    <col min="14593" max="14593" width="2.85546875" style="2" customWidth="1"/>
    <col min="14594" max="14594" width="8.5703125" style="2" customWidth="1"/>
    <col min="14595" max="14602" width="9.7109375" style="2" customWidth="1"/>
    <col min="14603" max="14603" width="8.5703125" style="2" customWidth="1"/>
    <col min="14604" max="14604" width="2.85546875" style="2" customWidth="1"/>
    <col min="14605" max="14605" width="6.85546875" style="2" customWidth="1"/>
    <col min="14606" max="14606" width="7.5703125" style="2" customWidth="1"/>
    <col min="14607" max="14612" width="0" style="2" hidden="1" customWidth="1"/>
    <col min="14613" max="14848" width="9.140625" style="2"/>
    <col min="14849" max="14849" width="2.85546875" style="2" customWidth="1"/>
    <col min="14850" max="14850" width="8.5703125" style="2" customWidth="1"/>
    <col min="14851" max="14858" width="9.7109375" style="2" customWidth="1"/>
    <col min="14859" max="14859" width="8.5703125" style="2" customWidth="1"/>
    <col min="14860" max="14860" width="2.85546875" style="2" customWidth="1"/>
    <col min="14861" max="14861" width="6.85546875" style="2" customWidth="1"/>
    <col min="14862" max="14862" width="7.5703125" style="2" customWidth="1"/>
    <col min="14863" max="14868" width="0" style="2" hidden="1" customWidth="1"/>
    <col min="14869" max="15104" width="9.140625" style="2"/>
    <col min="15105" max="15105" width="2.85546875" style="2" customWidth="1"/>
    <col min="15106" max="15106" width="8.5703125" style="2" customWidth="1"/>
    <col min="15107" max="15114" width="9.7109375" style="2" customWidth="1"/>
    <col min="15115" max="15115" width="8.5703125" style="2" customWidth="1"/>
    <col min="15116" max="15116" width="2.85546875" style="2" customWidth="1"/>
    <col min="15117" max="15117" width="6.85546875" style="2" customWidth="1"/>
    <col min="15118" max="15118" width="7.5703125" style="2" customWidth="1"/>
    <col min="15119" max="15124" width="0" style="2" hidden="1" customWidth="1"/>
    <col min="15125" max="15360" width="9.140625" style="2"/>
    <col min="15361" max="15361" width="2.85546875" style="2" customWidth="1"/>
    <col min="15362" max="15362" width="8.5703125" style="2" customWidth="1"/>
    <col min="15363" max="15370" width="9.7109375" style="2" customWidth="1"/>
    <col min="15371" max="15371" width="8.5703125" style="2" customWidth="1"/>
    <col min="15372" max="15372" width="2.85546875" style="2" customWidth="1"/>
    <col min="15373" max="15373" width="6.85546875" style="2" customWidth="1"/>
    <col min="15374" max="15374" width="7.5703125" style="2" customWidth="1"/>
    <col min="15375" max="15380" width="0" style="2" hidden="1" customWidth="1"/>
    <col min="15381" max="15616" width="9.140625" style="2"/>
    <col min="15617" max="15617" width="2.85546875" style="2" customWidth="1"/>
    <col min="15618" max="15618" width="8.5703125" style="2" customWidth="1"/>
    <col min="15619" max="15626" width="9.7109375" style="2" customWidth="1"/>
    <col min="15627" max="15627" width="8.5703125" style="2" customWidth="1"/>
    <col min="15628" max="15628" width="2.85546875" style="2" customWidth="1"/>
    <col min="15629" max="15629" width="6.85546875" style="2" customWidth="1"/>
    <col min="15630" max="15630" width="7.5703125" style="2" customWidth="1"/>
    <col min="15631" max="15636" width="0" style="2" hidden="1" customWidth="1"/>
    <col min="15637" max="15872" width="9.140625" style="2"/>
    <col min="15873" max="15873" width="2.85546875" style="2" customWidth="1"/>
    <col min="15874" max="15874" width="8.5703125" style="2" customWidth="1"/>
    <col min="15875" max="15882" width="9.7109375" style="2" customWidth="1"/>
    <col min="15883" max="15883" width="8.5703125" style="2" customWidth="1"/>
    <col min="15884" max="15884" width="2.85546875" style="2" customWidth="1"/>
    <col min="15885" max="15885" width="6.85546875" style="2" customWidth="1"/>
    <col min="15886" max="15886" width="7.5703125" style="2" customWidth="1"/>
    <col min="15887" max="15892" width="0" style="2" hidden="1" customWidth="1"/>
    <col min="15893" max="16128" width="9.140625" style="2"/>
    <col min="16129" max="16129" width="2.85546875" style="2" customWidth="1"/>
    <col min="16130" max="16130" width="8.5703125" style="2" customWidth="1"/>
    <col min="16131" max="16138" width="9.7109375" style="2" customWidth="1"/>
    <col min="16139" max="16139" width="8.5703125" style="2" customWidth="1"/>
    <col min="16140" max="16140" width="2.85546875" style="2" customWidth="1"/>
    <col min="16141" max="16141" width="6.85546875" style="2" customWidth="1"/>
    <col min="16142" max="16142" width="7.5703125" style="2" customWidth="1"/>
    <col min="16143" max="16148" width="0" style="2" hidden="1" customWidth="1"/>
    <col min="16149" max="16384" width="9.140625" style="2"/>
  </cols>
  <sheetData>
    <row r="1" spans="1:19">
      <c r="A1" s="1"/>
      <c r="B1" s="80" t="s">
        <v>208</v>
      </c>
      <c r="C1" s="80"/>
      <c r="D1" s="80"/>
      <c r="E1" s="80"/>
      <c r="F1" s="80"/>
      <c r="G1" s="80"/>
      <c r="H1" s="80"/>
      <c r="I1" s="80"/>
      <c r="J1" s="80"/>
      <c r="K1" s="81" t="s">
        <v>209</v>
      </c>
      <c r="P1" s="3"/>
      <c r="Q1" s="3"/>
      <c r="R1" s="3"/>
      <c r="S1" s="3"/>
    </row>
    <row r="2" spans="1:19" s="82" customFormat="1" ht="12.75" customHeight="1">
      <c r="B2" s="83"/>
      <c r="C2" s="84"/>
      <c r="D2" s="84"/>
      <c r="E2" s="84"/>
      <c r="F2" s="84"/>
      <c r="G2" s="84"/>
      <c r="H2" s="84"/>
      <c r="I2" s="84"/>
      <c r="J2" s="84"/>
      <c r="K2" s="85"/>
    </row>
    <row r="3" spans="1:19" s="82" customFormat="1" ht="12.75" customHeight="1">
      <c r="B3" s="86"/>
      <c r="C3" s="280" t="s">
        <v>80</v>
      </c>
      <c r="D3" s="280"/>
      <c r="E3" s="280"/>
      <c r="F3" s="280"/>
      <c r="G3" s="281" t="s">
        <v>81</v>
      </c>
      <c r="H3" s="281"/>
      <c r="I3" s="281"/>
      <c r="J3" s="281"/>
      <c r="K3" s="87"/>
    </row>
    <row r="4" spans="1:19" s="82" customFormat="1" ht="12.75" customHeight="1">
      <c r="B4" s="86"/>
      <c r="C4" s="282" t="s">
        <v>82</v>
      </c>
      <c r="D4" s="282"/>
      <c r="E4" s="282"/>
      <c r="F4" s="282"/>
      <c r="G4" s="283" t="s">
        <v>83</v>
      </c>
      <c r="H4" s="283"/>
      <c r="I4" s="283"/>
      <c r="J4" s="283"/>
      <c r="K4" s="87"/>
    </row>
    <row r="5" spans="1:19" s="82" customFormat="1" ht="12.75">
      <c r="B5" s="88"/>
      <c r="C5" s="89"/>
      <c r="D5" s="89"/>
      <c r="E5" s="89"/>
      <c r="F5" s="89"/>
      <c r="G5" s="89"/>
      <c r="H5" s="89"/>
      <c r="I5" s="89"/>
      <c r="J5" s="89"/>
      <c r="K5" s="90"/>
      <c r="M5" s="91"/>
    </row>
    <row r="6" spans="1:19" s="82" customFormat="1" ht="12.75"/>
    <row r="7" spans="1:19" s="92" customFormat="1" ht="15" customHeight="1">
      <c r="A7" s="2"/>
      <c r="B7" s="4"/>
      <c r="C7" s="284" t="s">
        <v>203</v>
      </c>
      <c r="D7" s="284"/>
      <c r="E7" s="284"/>
      <c r="F7" s="284"/>
      <c r="G7" s="284"/>
      <c r="H7" s="284"/>
      <c r="I7" s="284"/>
      <c r="J7" s="284"/>
      <c r="K7" s="12"/>
      <c r="L7" s="2"/>
    </row>
    <row r="8" spans="1:19" s="92" customFormat="1" ht="15" customHeight="1">
      <c r="A8" s="2"/>
      <c r="B8" s="7"/>
      <c r="C8" s="275"/>
      <c r="D8" s="275"/>
      <c r="E8" s="275"/>
      <c r="F8" s="275"/>
      <c r="G8" s="275"/>
      <c r="H8" s="275"/>
      <c r="I8" s="275"/>
      <c r="J8" s="275"/>
      <c r="K8" s="13"/>
      <c r="L8" s="2"/>
    </row>
    <row r="9" spans="1:19" s="92" customFormat="1" ht="15" customHeight="1">
      <c r="A9" s="2"/>
      <c r="B9" s="7"/>
      <c r="C9" s="275"/>
      <c r="D9" s="275"/>
      <c r="E9" s="275"/>
      <c r="F9" s="275"/>
      <c r="G9" s="275"/>
      <c r="H9" s="275"/>
      <c r="I9" s="275"/>
      <c r="J9" s="275"/>
      <c r="K9" s="13"/>
      <c r="L9" s="2"/>
    </row>
    <row r="10" spans="1:19" s="92" customFormat="1" ht="14.1" customHeight="1">
      <c r="A10" s="2"/>
      <c r="B10" s="14"/>
      <c r="C10" s="285"/>
      <c r="D10" s="285"/>
      <c r="E10" s="285"/>
      <c r="F10" s="285"/>
      <c r="G10" s="285"/>
      <c r="H10" s="285"/>
      <c r="I10" s="285"/>
      <c r="J10" s="285"/>
      <c r="K10" s="15"/>
      <c r="L10" s="2"/>
    </row>
    <row r="11" spans="1:19" s="82" customFormat="1" ht="9.9499999999999993" customHeight="1">
      <c r="A11" s="2"/>
      <c r="B11" s="2"/>
      <c r="C11" s="2"/>
      <c r="D11" s="2"/>
      <c r="E11" s="2"/>
      <c r="F11" s="2"/>
      <c r="G11" s="2"/>
      <c r="H11" s="2"/>
      <c r="I11" s="2"/>
      <c r="J11" s="2"/>
      <c r="K11" s="2"/>
      <c r="L11" s="2"/>
    </row>
    <row r="12" spans="1:19" s="82" customFormat="1" ht="9.9499999999999993" customHeight="1">
      <c r="B12" s="83"/>
      <c r="C12" s="84"/>
      <c r="D12" s="84"/>
      <c r="E12" s="84"/>
      <c r="F12" s="84"/>
      <c r="G12" s="84"/>
      <c r="H12" s="84"/>
      <c r="I12" s="84"/>
      <c r="J12" s="84"/>
      <c r="K12" s="85"/>
    </row>
    <row r="13" spans="1:19" s="82" customFormat="1" ht="15" customHeight="1">
      <c r="B13" s="86"/>
      <c r="C13" s="276" t="s">
        <v>204</v>
      </c>
      <c r="D13" s="276"/>
      <c r="E13" s="276"/>
      <c r="F13" s="276"/>
      <c r="G13" s="276"/>
      <c r="H13" s="276"/>
      <c r="I13" s="276"/>
      <c r="J13" s="276"/>
      <c r="K13" s="87"/>
    </row>
    <row r="14" spans="1:19" s="82" customFormat="1" ht="15" customHeight="1">
      <c r="B14" s="86"/>
      <c r="C14" s="276"/>
      <c r="D14" s="276"/>
      <c r="E14" s="276"/>
      <c r="F14" s="276"/>
      <c r="G14" s="276"/>
      <c r="H14" s="276"/>
      <c r="I14" s="276"/>
      <c r="J14" s="276"/>
      <c r="K14" s="87"/>
    </row>
    <row r="15" spans="1:19" s="82" customFormat="1" ht="15" customHeight="1">
      <c r="B15" s="86"/>
      <c r="C15" s="276"/>
      <c r="D15" s="276"/>
      <c r="E15" s="276"/>
      <c r="F15" s="276"/>
      <c r="G15" s="276"/>
      <c r="H15" s="276"/>
      <c r="I15" s="276"/>
      <c r="J15" s="276"/>
      <c r="K15" s="87"/>
    </row>
    <row r="16" spans="1:19" s="82" customFormat="1" ht="15" customHeight="1">
      <c r="B16" s="86"/>
      <c r="C16" s="276"/>
      <c r="D16" s="276"/>
      <c r="E16" s="276"/>
      <c r="F16" s="276"/>
      <c r="G16" s="276"/>
      <c r="H16" s="276"/>
      <c r="I16" s="276"/>
      <c r="J16" s="276"/>
      <c r="K16" s="87"/>
    </row>
    <row r="17" spans="2:11" s="82" customFormat="1" ht="15" customHeight="1">
      <c r="B17" s="86"/>
      <c r="C17" s="276"/>
      <c r="D17" s="276"/>
      <c r="E17" s="276"/>
      <c r="F17" s="276"/>
      <c r="G17" s="276"/>
      <c r="H17" s="276"/>
      <c r="I17" s="276"/>
      <c r="J17" s="276"/>
      <c r="K17" s="87"/>
    </row>
    <row r="18" spans="2:11" s="82" customFormat="1" ht="15" customHeight="1">
      <c r="B18" s="86"/>
      <c r="C18" s="276"/>
      <c r="D18" s="276"/>
      <c r="E18" s="276"/>
      <c r="F18" s="276"/>
      <c r="G18" s="276"/>
      <c r="H18" s="276"/>
      <c r="I18" s="276"/>
      <c r="J18" s="276"/>
      <c r="K18" s="87"/>
    </row>
    <row r="19" spans="2:11" s="82" customFormat="1" ht="15" customHeight="1">
      <c r="B19" s="86"/>
      <c r="C19" s="276"/>
      <c r="D19" s="276"/>
      <c r="E19" s="276"/>
      <c r="F19" s="276"/>
      <c r="G19" s="276"/>
      <c r="H19" s="276"/>
      <c r="I19" s="276"/>
      <c r="J19" s="276"/>
      <c r="K19" s="87"/>
    </row>
    <row r="20" spans="2:11" s="82" customFormat="1" ht="15" customHeight="1">
      <c r="B20" s="86"/>
      <c r="C20" s="276"/>
      <c r="D20" s="276"/>
      <c r="E20" s="276"/>
      <c r="F20" s="276"/>
      <c r="G20" s="276"/>
      <c r="H20" s="276"/>
      <c r="I20" s="276"/>
      <c r="J20" s="276"/>
      <c r="K20" s="87"/>
    </row>
    <row r="21" spans="2:11" s="82" customFormat="1" ht="15" customHeight="1">
      <c r="B21" s="86"/>
      <c r="C21" s="276"/>
      <c r="D21" s="276"/>
      <c r="E21" s="276"/>
      <c r="F21" s="276"/>
      <c r="G21" s="276"/>
      <c r="H21" s="276"/>
      <c r="I21" s="276"/>
      <c r="J21" s="276"/>
      <c r="K21" s="87"/>
    </row>
    <row r="22" spans="2:11" s="82" customFormat="1" ht="15" customHeight="1">
      <c r="B22" s="86"/>
      <c r="C22" s="276"/>
      <c r="D22" s="276"/>
      <c r="E22" s="276"/>
      <c r="F22" s="276"/>
      <c r="G22" s="276"/>
      <c r="H22" s="276"/>
      <c r="I22" s="276"/>
      <c r="J22" s="276"/>
      <c r="K22" s="87"/>
    </row>
    <row r="23" spans="2:11" s="82" customFormat="1" ht="15" customHeight="1">
      <c r="B23" s="86"/>
      <c r="C23" s="276"/>
      <c r="D23" s="276"/>
      <c r="E23" s="276"/>
      <c r="F23" s="276"/>
      <c r="G23" s="276"/>
      <c r="H23" s="276"/>
      <c r="I23" s="276"/>
      <c r="J23" s="276"/>
      <c r="K23" s="87"/>
    </row>
    <row r="24" spans="2:11" s="82" customFormat="1" ht="15" customHeight="1">
      <c r="B24" s="86"/>
      <c r="C24" s="277" t="s">
        <v>205</v>
      </c>
      <c r="D24" s="277"/>
      <c r="E24" s="277"/>
      <c r="F24" s="277"/>
      <c r="G24" s="277"/>
      <c r="H24" s="277"/>
      <c r="I24" s="93"/>
      <c r="J24" s="93"/>
      <c r="K24" s="87"/>
    </row>
    <row r="25" spans="2:11" s="82" customFormat="1" ht="17.100000000000001" customHeight="1">
      <c r="B25" s="86"/>
      <c r="C25" s="278" t="s">
        <v>206</v>
      </c>
      <c r="D25" s="278"/>
      <c r="E25" s="278"/>
      <c r="F25" s="278"/>
      <c r="G25" s="278"/>
      <c r="H25" s="278"/>
      <c r="I25" s="278"/>
      <c r="J25" s="278"/>
      <c r="K25" s="87"/>
    </row>
    <row r="26" spans="2:11" s="82" customFormat="1" ht="17.100000000000001" customHeight="1">
      <c r="B26" s="86"/>
      <c r="C26" s="278"/>
      <c r="D26" s="278"/>
      <c r="E26" s="278"/>
      <c r="F26" s="278"/>
      <c r="G26" s="278"/>
      <c r="H26" s="278"/>
      <c r="I26" s="278"/>
      <c r="J26" s="278"/>
      <c r="K26" s="87"/>
    </row>
    <row r="27" spans="2:11" s="82" customFormat="1" ht="17.100000000000001" customHeight="1">
      <c r="B27" s="86"/>
      <c r="C27" s="278"/>
      <c r="D27" s="278"/>
      <c r="E27" s="278"/>
      <c r="F27" s="278"/>
      <c r="G27" s="278"/>
      <c r="H27" s="278"/>
      <c r="I27" s="278"/>
      <c r="J27" s="278"/>
      <c r="K27" s="87"/>
    </row>
    <row r="28" spans="2:11" s="82" customFormat="1" ht="17.100000000000001" customHeight="1">
      <c r="B28" s="86"/>
      <c r="C28" s="278"/>
      <c r="D28" s="278"/>
      <c r="E28" s="278"/>
      <c r="F28" s="278"/>
      <c r="G28" s="278"/>
      <c r="H28" s="278"/>
      <c r="I28" s="278"/>
      <c r="J28" s="278"/>
      <c r="K28" s="87"/>
    </row>
    <row r="29" spans="2:11" s="82" customFormat="1" ht="9.9499999999999993" customHeight="1">
      <c r="B29" s="88"/>
      <c r="C29" s="89"/>
      <c r="D29" s="89"/>
      <c r="E29" s="89"/>
      <c r="F29" s="89"/>
      <c r="G29" s="89"/>
      <c r="H29" s="89"/>
      <c r="I29" s="89"/>
      <c r="J29" s="89"/>
      <c r="K29" s="90"/>
    </row>
    <row r="31" spans="2:11">
      <c r="B31" s="4"/>
      <c r="C31" s="5"/>
      <c r="D31" s="5"/>
      <c r="E31" s="5"/>
      <c r="F31" s="5"/>
      <c r="G31" s="5"/>
      <c r="H31" s="5"/>
      <c r="I31" s="5"/>
      <c r="J31" s="5"/>
      <c r="K31" s="6"/>
    </row>
    <row r="32" spans="2:11">
      <c r="B32" s="7"/>
      <c r="C32" s="279" t="s">
        <v>207</v>
      </c>
      <c r="D32" s="279"/>
      <c r="E32" s="279"/>
      <c r="F32" s="279"/>
      <c r="G32" s="279"/>
      <c r="H32" s="279"/>
      <c r="I32" s="279"/>
      <c r="J32" s="279"/>
      <c r="K32" s="8"/>
    </row>
    <row r="33" spans="2:11">
      <c r="B33" s="7"/>
      <c r="C33" s="279"/>
      <c r="D33" s="279"/>
      <c r="E33" s="279"/>
      <c r="F33" s="279"/>
      <c r="G33" s="279"/>
      <c r="H33" s="279"/>
      <c r="I33" s="279"/>
      <c r="J33" s="279"/>
      <c r="K33" s="8"/>
    </row>
    <row r="34" spans="2:11">
      <c r="B34" s="7"/>
      <c r="C34" s="279"/>
      <c r="D34" s="279"/>
      <c r="E34" s="279"/>
      <c r="F34" s="279"/>
      <c r="G34" s="279"/>
      <c r="H34" s="279"/>
      <c r="I34" s="279"/>
      <c r="J34" s="279"/>
      <c r="K34" s="8"/>
    </row>
    <row r="35" spans="2:11" ht="12.75" customHeight="1">
      <c r="B35" s="7"/>
      <c r="C35" s="279"/>
      <c r="D35" s="279"/>
      <c r="E35" s="279"/>
      <c r="F35" s="279"/>
      <c r="G35" s="279"/>
      <c r="H35" s="279"/>
      <c r="I35" s="279"/>
      <c r="J35" s="279"/>
      <c r="K35" s="8"/>
    </row>
    <row r="36" spans="2:11">
      <c r="B36" s="9"/>
      <c r="C36" s="10"/>
      <c r="D36" s="10"/>
      <c r="E36" s="10"/>
      <c r="F36" s="10"/>
      <c r="G36" s="10"/>
      <c r="H36" s="10"/>
      <c r="I36" s="10"/>
      <c r="J36" s="10"/>
      <c r="K36" s="11"/>
    </row>
    <row r="38" spans="2:11">
      <c r="B38" s="4"/>
      <c r="C38" s="5"/>
      <c r="D38" s="5"/>
      <c r="E38" s="5"/>
      <c r="F38" s="5"/>
      <c r="G38" s="5"/>
      <c r="H38" s="5"/>
      <c r="I38" s="5"/>
      <c r="J38" s="5"/>
      <c r="K38" s="6"/>
    </row>
    <row r="39" spans="2:11" ht="16.5" customHeight="1">
      <c r="B39" s="7"/>
      <c r="C39" s="286" t="s">
        <v>210</v>
      </c>
      <c r="D39" s="286"/>
      <c r="E39" s="286"/>
      <c r="F39" s="286"/>
      <c r="G39" s="286"/>
      <c r="H39" s="286"/>
      <c r="I39" s="286"/>
      <c r="J39" s="286"/>
      <c r="K39" s="8"/>
    </row>
    <row r="40" spans="2:11" ht="18" customHeight="1">
      <c r="B40" s="7"/>
      <c r="C40" s="286"/>
      <c r="D40" s="286"/>
      <c r="E40" s="286"/>
      <c r="F40" s="286"/>
      <c r="G40" s="286"/>
      <c r="H40" s="286"/>
      <c r="I40" s="286"/>
      <c r="J40" s="286"/>
      <c r="K40" s="8"/>
    </row>
    <row r="41" spans="2:11" ht="18" customHeight="1">
      <c r="B41" s="7"/>
      <c r="C41" s="286"/>
      <c r="D41" s="286"/>
      <c r="E41" s="286"/>
      <c r="F41" s="286"/>
      <c r="G41" s="286"/>
      <c r="H41" s="286"/>
      <c r="I41" s="286"/>
      <c r="J41" s="286"/>
      <c r="K41" s="8"/>
    </row>
    <row r="42" spans="2:11" ht="19.5" customHeight="1">
      <c r="B42" s="7"/>
      <c r="C42" s="286"/>
      <c r="D42" s="286"/>
      <c r="E42" s="286"/>
      <c r="F42" s="286"/>
      <c r="G42" s="286"/>
      <c r="H42" s="286"/>
      <c r="I42" s="286"/>
      <c r="J42" s="286"/>
      <c r="K42" s="8"/>
    </row>
    <row r="43" spans="2:11">
      <c r="B43" s="9"/>
      <c r="C43" s="10"/>
      <c r="D43" s="10"/>
      <c r="E43" s="10"/>
      <c r="F43" s="10"/>
      <c r="G43" s="10"/>
      <c r="H43" s="10"/>
      <c r="I43" s="10"/>
      <c r="J43" s="10"/>
      <c r="K43" s="11"/>
    </row>
    <row r="48" spans="2:11">
      <c r="D48" s="16"/>
    </row>
  </sheetData>
  <sheetProtection algorithmName="SHA-512" hashValue="H0oasufurSxvAgav9St2CNt7fYiwlDcCrZYdIgfJ3lsLxezUWDkE6Z+v3ZRb/SECc1akbr3sY3SavmFqWSI9Pg==" saltValue="7MFVGTkdS96eU8v6rIy2SQ==" spinCount="100000" sheet="1" objects="1" scenarios="1" selectLockedCells="1"/>
  <mergeCells count="10">
    <mergeCell ref="C3:F3"/>
    <mergeCell ref="G3:J3"/>
    <mergeCell ref="C4:F4"/>
    <mergeCell ref="G4:J4"/>
    <mergeCell ref="C7:J10"/>
    <mergeCell ref="C39:J42"/>
    <mergeCell ref="C13:J23"/>
    <mergeCell ref="C24:H24"/>
    <mergeCell ref="C25:J28"/>
    <mergeCell ref="C32:J35"/>
  </mergeCells>
  <hyperlinks>
    <hyperlink ref="C4" r:id="rId1" xr:uid="{00000000-0004-0000-0200-000000000000}"/>
    <hyperlink ref="G4" r:id="rId2" xr:uid="{00000000-0004-0000-0200-000001000000}"/>
    <hyperlink ref="C24:H24" r:id="rId3" display="www.yourspreadsheets.co.uk/checkout.html" xr:uid="{00000000-0004-0000-0200-000002000000}"/>
  </hyperlinks>
  <pageMargins left="0.75" right="0.75" top="1" bottom="1" header="0.5" footer="0.5"/>
  <pageSetup paperSize="9" scale="91"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67</vt:i4>
      </vt:variant>
    </vt:vector>
  </HeadingPairs>
  <TitlesOfParts>
    <vt:vector size="70" baseType="lpstr">
      <vt:lpstr>Photovoltaic module</vt:lpstr>
      <vt:lpstr>Calculations</vt:lpstr>
      <vt:lpstr>from author</vt:lpstr>
      <vt:lpstr>A</vt:lpstr>
      <vt:lpstr>A_n</vt:lpstr>
      <vt:lpstr>a_pv</vt:lpstr>
      <vt:lpstr>A_t</vt:lpstr>
      <vt:lpstr>b_panel_width</vt:lpstr>
      <vt:lpstr>BuildingTypes</vt:lpstr>
      <vt:lpstr>d_bE</vt:lpstr>
      <vt:lpstr>d_bN</vt:lpstr>
      <vt:lpstr>d_bS</vt:lpstr>
      <vt:lpstr>d_bW</vt:lpstr>
      <vt:lpstr>d_pE</vt:lpstr>
      <vt:lpstr>d_pN</vt:lpstr>
      <vt:lpstr>d_pS</vt:lpstr>
      <vt:lpstr>d_pW</vt:lpstr>
      <vt:lpstr>E</vt:lpstr>
      <vt:lpstr>ExposureCategories</vt:lpstr>
      <vt:lpstr>exposureCategory</vt:lpstr>
      <vt:lpstr>F</vt:lpstr>
      <vt:lpstr>F_d</vt:lpstr>
      <vt:lpstr>F_horiz</vt:lpstr>
      <vt:lpstr>F_vert</vt:lpstr>
      <vt:lpstr>GC_rn</vt:lpstr>
      <vt:lpstr>GC_rn_d</vt:lpstr>
      <vt:lpstr>GC_rn_nom</vt:lpstr>
      <vt:lpstr>h</vt:lpstr>
      <vt:lpstr>h_1</vt:lpstr>
      <vt:lpstr>h_c</vt:lpstr>
      <vt:lpstr>h_c_N</vt:lpstr>
      <vt:lpstr>h_pt</vt:lpstr>
      <vt:lpstr>isEdgePanel_E</vt:lpstr>
      <vt:lpstr>isEdgePanel_N</vt:lpstr>
      <vt:lpstr>isEdgePanel_S</vt:lpstr>
      <vt:lpstr>isEdgePanel_W</vt:lpstr>
      <vt:lpstr>K_d</vt:lpstr>
      <vt:lpstr>K_z</vt:lpstr>
      <vt:lpstr>K_zt</vt:lpstr>
      <vt:lpstr>l_p</vt:lpstr>
      <vt:lpstr>l_p_panel</vt:lpstr>
      <vt:lpstr>myrange</vt:lpstr>
      <vt:lpstr>p</vt:lpstr>
      <vt:lpstr>P_D</vt:lpstr>
      <vt:lpstr>p_dwn</vt:lpstr>
      <vt:lpstr>pea</vt:lpstr>
      <vt:lpstr>'Photovoltaic module'!Print_Area</vt:lpstr>
      <vt:lpstr>PVType</vt:lpstr>
      <vt:lpstr>PVTypes</vt:lpstr>
      <vt:lpstr>q_h</vt:lpstr>
      <vt:lpstr>roofZone</vt:lpstr>
      <vt:lpstr>RoofZones</vt:lpstr>
      <vt:lpstr>setback_Z0</vt:lpstr>
      <vt:lpstr>setback_Z2</vt:lpstr>
      <vt:lpstr>setback_Z3</vt:lpstr>
      <vt:lpstr>V</vt:lpstr>
      <vt:lpstr>W_blst</vt:lpstr>
      <vt:lpstr>W_blst_arr</vt:lpstr>
      <vt:lpstr>W_blst_sld</vt:lpstr>
      <vt:lpstr>W_blst_up</vt:lpstr>
      <vt:lpstr>W_L</vt:lpstr>
      <vt:lpstr>W_panel</vt:lpstr>
      <vt:lpstr>W_S</vt:lpstr>
      <vt:lpstr>z_g</vt:lpstr>
      <vt:lpstr>α</vt:lpstr>
      <vt:lpstr>γ_c</vt:lpstr>
      <vt:lpstr>γ_p</vt:lpstr>
      <vt:lpstr>θ</vt:lpstr>
      <vt:lpstr>μ</vt:lpstr>
      <vt:lpstr>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Grasinger</dc:creator>
  <cp:lastModifiedBy>ziom</cp:lastModifiedBy>
  <cp:lastPrinted>2014-02-23T18:23:48Z</cp:lastPrinted>
  <dcterms:created xsi:type="dcterms:W3CDTF">2014-01-29T05:09:25Z</dcterms:created>
  <dcterms:modified xsi:type="dcterms:W3CDTF">2019-11-17T18:11:34Z</dcterms:modified>
</cp:coreProperties>
</file>