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codeName="{61638066-69CD-5DBD-CD94-FFEC8A4DF156}"/>
  <workbookPr codeName="ThisWorkbook" defaultThemeVersion="124226"/>
  <mc:AlternateContent xmlns:mc="http://schemas.openxmlformats.org/markup-compatibility/2006">
    <mc:Choice Requires="x15">
      <x15ac:absPath xmlns:x15ac="http://schemas.microsoft.com/office/spreadsheetml/2010/11/ac" url="B:\6_praca\firmy\YourSpreadsheets\masonry\padstone BS\free lite version\"/>
    </mc:Choice>
  </mc:AlternateContent>
  <xr:revisionPtr revIDLastSave="0" documentId="13_ncr:1_{D99597DC-CEAE-472A-9079-A47A26A0288A}" xr6:coauthVersionLast="33" xr6:coauthVersionMax="33" xr10:uidLastSave="{00000000-0000-0000-0000-000000000000}"/>
  <workbookProtection workbookPassword="CD8C" lockStructure="1"/>
  <bookViews>
    <workbookView xWindow="0" yWindow="0" windowWidth="14370" windowHeight="12180" activeTab="2" xr2:uid="{00000000-000D-0000-FFFF-FFFF00000000}"/>
  </bookViews>
  <sheets>
    <sheet name="masonry bearing" sheetId="4" r:id="rId1"/>
    <sheet name="calculationstables" sheetId="1" state="veryHidden" r:id="rId2"/>
    <sheet name="from author" sheetId="7" r:id="rId3"/>
  </sheets>
  <definedNames>
    <definedName name="Lst_Comp_Strength">IF('masonry bearing'!$AF$8=1,'masonry bearing'!$AN$15:$AN$25,IF('masonry bearing'!$AF$8=2,'masonry bearing'!$AO$15:$AO$19,'masonry bearing'!$AP$15:$AP$23))</definedName>
    <definedName name="myrange">'masonry bearing'!$B$2:$AC$61</definedName>
    <definedName name="_xlnm.Print_Area" localSheetId="0">'masonry bearing'!$B$2:$AC$61</definedName>
  </definedNames>
  <calcPr calcId="179017"/>
</workbook>
</file>

<file path=xl/calcChain.xml><?xml version="1.0" encoding="utf-8"?>
<calcChain xmlns="http://schemas.openxmlformats.org/spreadsheetml/2006/main">
  <c r="M30" i="4" l="1"/>
  <c r="M29" i="4"/>
  <c r="I10" i="1"/>
  <c r="AJ47" i="4"/>
  <c r="AH47" i="4"/>
  <c r="AM56" i="4"/>
  <c r="AG47" i="4"/>
  <c r="AF47" i="4"/>
  <c r="AL41" i="4"/>
  <c r="AK41" i="4"/>
  <c r="AJ41" i="4"/>
  <c r="AI41" i="4"/>
  <c r="AH41" i="4"/>
  <c r="AG41" i="4"/>
  <c r="AF41" i="4"/>
  <c r="AH34" i="4"/>
  <c r="AG34" i="4"/>
  <c r="AF34" i="4"/>
  <c r="AF26" i="4"/>
  <c r="AF25" i="4"/>
  <c r="AK19" i="4"/>
  <c r="AL12" i="4"/>
  <c r="AL53" i="4" l="1"/>
  <c r="K42" i="4"/>
  <c r="AG49" i="4"/>
  <c r="AL16" i="4" l="1"/>
  <c r="AL17" i="4"/>
  <c r="AL13" i="4"/>
  <c r="AL14" i="4"/>
  <c r="AL15" i="4"/>
  <c r="AF38" i="4"/>
  <c r="AH49" i="4" s="1"/>
  <c r="AI49" i="4" l="1"/>
  <c r="AO53" i="4" l="1"/>
  <c r="AO54" i="4" s="1"/>
  <c r="AN53" i="4"/>
  <c r="AN54" i="4" s="1"/>
  <c r="Z11" i="4"/>
  <c r="AH20" i="4"/>
  <c r="AG20" i="4"/>
  <c r="AF20" i="4"/>
  <c r="K49" i="4"/>
  <c r="AL31" i="4" s="1"/>
  <c r="AL18" i="4"/>
  <c r="AF33" i="4"/>
  <c r="AF45" i="4" s="1"/>
  <c r="AF12" i="4"/>
  <c r="M19" i="4" s="1"/>
  <c r="AK47" i="4" l="1"/>
  <c r="AI47" i="4"/>
  <c r="AL47" i="4"/>
  <c r="AF27" i="4"/>
  <c r="AM40" i="4"/>
  <c r="AM41" i="4" s="1"/>
  <c r="K40" i="4" l="1"/>
  <c r="AJ49" i="4"/>
  <c r="AK50" i="4" s="1"/>
  <c r="AM46" i="4"/>
  <c r="K41" i="4"/>
  <c r="AF8" i="4"/>
  <c r="C17" i="4" s="1"/>
  <c r="AO14" i="4"/>
  <c r="AP14" i="4"/>
  <c r="AQ14" i="4"/>
  <c r="AR14" i="4"/>
  <c r="AS14" i="4"/>
  <c r="AN14" i="4"/>
  <c r="AF13" i="4"/>
  <c r="K51" i="4" s="1"/>
  <c r="K52" i="4" s="1"/>
  <c r="AE24" i="4" l="1"/>
  <c r="AA48" i="4"/>
  <c r="AA46" i="4"/>
  <c r="AM47" i="4"/>
  <c r="Y44" i="4" s="1"/>
  <c r="Y43" i="4"/>
  <c r="AF14" i="4"/>
  <c r="K48" i="4" s="1"/>
  <c r="AL30" i="4" s="1"/>
  <c r="AH21" i="4"/>
  <c r="AG21" i="4"/>
  <c r="AF21" i="4"/>
  <c r="Z5" i="4"/>
  <c r="P53" i="4" l="1"/>
  <c r="P45" i="4"/>
  <c r="P52" i="4"/>
  <c r="P48" i="4"/>
  <c r="P51" i="4"/>
  <c r="P47" i="4"/>
  <c r="P46" i="4"/>
  <c r="M20" i="4"/>
  <c r="N27" i="1"/>
  <c r="N28" i="1" s="1"/>
  <c r="Z27" i="1"/>
  <c r="Z28" i="1" s="1"/>
  <c r="AA28" i="1" s="1"/>
  <c r="AA29" i="1" s="1"/>
  <c r="AH27" i="1"/>
  <c r="AH28" i="1" s="1"/>
  <c r="AS27" i="1"/>
  <c r="AS28" i="1" s="1"/>
  <c r="BC27" i="1"/>
  <c r="BC28" i="1" s="1"/>
  <c r="BK27" i="1"/>
  <c r="BK28" i="1" s="1"/>
  <c r="BV27" i="1"/>
  <c r="BV28" i="1" s="1"/>
  <c r="BV29" i="1" s="1"/>
  <c r="CG27" i="1"/>
  <c r="CG28" i="1" s="1"/>
  <c r="CG29" i="1" s="1"/>
  <c r="H29" i="1"/>
  <c r="I9" i="1"/>
  <c r="H30" i="1"/>
  <c r="H31" i="1"/>
  <c r="H32" i="1"/>
  <c r="H33" i="1"/>
  <c r="AL32" i="4" l="1"/>
  <c r="AL33" i="4" s="1"/>
  <c r="AL34" i="4" s="1"/>
  <c r="N30" i="1"/>
  <c r="BC30" i="1"/>
  <c r="BK30" i="1"/>
  <c r="Z29" i="1"/>
  <c r="Z30" i="1"/>
  <c r="AI28" i="1"/>
  <c r="AH29" i="1"/>
  <c r="N29" i="1"/>
  <c r="O28" i="1"/>
  <c r="AA30" i="1"/>
  <c r="AH30" i="1"/>
  <c r="AS29" i="1"/>
  <c r="AS30" i="1"/>
  <c r="AT28" i="1"/>
  <c r="CH28" i="1"/>
  <c r="CG30" i="1"/>
  <c r="BD28" i="1"/>
  <c r="BC29" i="1"/>
  <c r="BK29" i="1"/>
  <c r="BL28" i="1"/>
  <c r="BW28" i="1"/>
  <c r="BV30" i="1"/>
  <c r="I11" i="1"/>
  <c r="K50" i="4" l="1"/>
  <c r="AB30" i="1"/>
  <c r="E23" i="1" s="1"/>
  <c r="O30" i="1"/>
  <c r="O29" i="1"/>
  <c r="AI29" i="1"/>
  <c r="AI30" i="1"/>
  <c r="E33" i="1"/>
  <c r="E31" i="1"/>
  <c r="E29" i="1"/>
  <c r="E32" i="1"/>
  <c r="E30" i="1"/>
  <c r="CH30" i="1"/>
  <c r="CH29" i="1"/>
  <c r="BD29" i="1"/>
  <c r="BD30" i="1"/>
  <c r="BW29" i="1"/>
  <c r="BW30" i="1"/>
  <c r="BL30" i="1"/>
  <c r="BL29" i="1"/>
  <c r="AT29" i="1"/>
  <c r="AT30" i="1"/>
  <c r="AJ30" i="1" l="1"/>
  <c r="E25" i="1" s="1"/>
  <c r="AU30" i="1"/>
  <c r="F24" i="1" s="1"/>
  <c r="BX30" i="1"/>
  <c r="E26" i="1" s="1"/>
  <c r="P30" i="1"/>
  <c r="E22" i="1" s="1"/>
  <c r="BE30" i="1"/>
  <c r="F23" i="1" s="1"/>
  <c r="CI30" i="1"/>
  <c r="E27" i="1" s="1"/>
  <c r="F31" i="1"/>
  <c r="AE26" i="4" s="1"/>
  <c r="AE29" i="4" s="1"/>
  <c r="BM30" i="1"/>
  <c r="F25" i="1" s="1"/>
  <c r="G25" i="1" l="1"/>
  <c r="E24" i="1"/>
  <c r="G24" i="1" s="1"/>
  <c r="I7" i="1"/>
  <c r="G23" i="1"/>
  <c r="I8" i="1"/>
  <c r="I13" i="1" l="1"/>
  <c r="M21" i="4" s="1"/>
  <c r="AM53" i="4" l="1"/>
  <c r="Y46" i="4" s="1"/>
  <c r="K43" i="4"/>
  <c r="K53" i="4"/>
  <c r="K54" i="4" s="1"/>
  <c r="K55" i="4" l="1"/>
  <c r="C55" i="4"/>
  <c r="K45" i="4"/>
  <c r="C45" i="4"/>
  <c r="AM55" i="4"/>
  <c r="AM57" i="4" s="1"/>
  <c r="AM58" i="4" s="1"/>
  <c r="K44" i="4"/>
  <c r="AF44" i="4"/>
  <c r="AF28" i="4" s="1"/>
  <c r="AF29" i="4" l="1"/>
  <c r="C22" i="4" s="1"/>
  <c r="AP33" i="4"/>
  <c r="AP32" i="4"/>
  <c r="AP31" i="4"/>
  <c r="AP34" i="4"/>
  <c r="Y51" i="4"/>
  <c r="AA16" i="4"/>
  <c r="X16" i="4"/>
  <c r="AA14" i="4"/>
  <c r="X14" i="4"/>
  <c r="AH25" i="4" l="1"/>
  <c r="AM59" i="4"/>
  <c r="Y52" i="4" s="1"/>
  <c r="AO55" i="4"/>
  <c r="AN55" i="4"/>
  <c r="AL54" i="4"/>
  <c r="Y47" i="4" s="1"/>
  <c r="AM61" i="4" l="1"/>
  <c r="Y54" i="4" s="1"/>
  <c r="AG57" i="4"/>
  <c r="P49" i="4" s="1"/>
  <c r="AL56" i="4"/>
  <c r="AI58" i="4"/>
  <c r="AN57" i="4"/>
  <c r="AO57" i="4"/>
  <c r="AJ58" i="4"/>
  <c r="AH62" i="4"/>
  <c r="P54" i="4" s="1"/>
  <c r="AN56" i="4"/>
  <c r="AO56" i="4"/>
  <c r="AL55" i="4"/>
  <c r="Y48" i="4" s="1"/>
  <c r="AM60" i="4"/>
  <c r="Y53" i="4" s="1"/>
  <c r="P50" i="4" l="1"/>
  <c r="Y50" i="4"/>
  <c r="Y49" i="4"/>
  <c r="X15" i="4"/>
  <c r="AA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ziom</author>
  </authors>
  <commentList>
    <comment ref="M12" authorId="0" shapeId="0" xr:uid="{00000000-0006-0000-0000-000001000000}">
      <text>
        <r>
          <rPr>
            <b/>
            <sz val="9"/>
            <color indexed="81"/>
            <rFont val="Tahoma"/>
            <family val="2"/>
          </rPr>
          <t>Locked in FREE Lite Version.</t>
        </r>
      </text>
    </comment>
    <comment ref="M18" authorId="0" shapeId="0" xr:uid="{00000000-0006-0000-0000-000002000000}">
      <text>
        <r>
          <rPr>
            <b/>
            <sz val="9"/>
            <color indexed="81"/>
            <rFont val="Tahoma"/>
            <family val="2"/>
          </rPr>
          <t>Locked in FREE Lite Version.</t>
        </r>
      </text>
    </comment>
    <comment ref="M25" authorId="0" shapeId="0" xr:uid="{00000000-0006-0000-0000-000003000000}">
      <text>
        <r>
          <rPr>
            <b/>
            <sz val="9"/>
            <color indexed="81"/>
            <rFont val="Tahoma"/>
            <family val="2"/>
          </rPr>
          <t>Locked in FREE Lite Version.</t>
        </r>
      </text>
    </comment>
    <comment ref="M27" authorId="0" shapeId="0" xr:uid="{00000000-0006-0000-0000-000004000000}">
      <text>
        <r>
          <rPr>
            <b/>
            <sz val="9"/>
            <color indexed="81"/>
            <rFont val="Tahoma"/>
            <family val="2"/>
          </rPr>
          <t>Locked in FREE Lite Version.</t>
        </r>
      </text>
    </comment>
  </commentList>
</comments>
</file>

<file path=xl/sharedStrings.xml><?xml version="1.0" encoding="utf-8"?>
<sst xmlns="http://schemas.openxmlformats.org/spreadsheetml/2006/main" count="389" uniqueCount="183">
  <si>
    <t>Masonry type:</t>
  </si>
  <si>
    <t>Wall type:</t>
  </si>
  <si>
    <t>Single</t>
  </si>
  <si>
    <t>Cavity</t>
  </si>
  <si>
    <t>Clay or calcium silicate bricks</t>
  </si>
  <si>
    <t>Autoclaved aerated concrete blocks</t>
  </si>
  <si>
    <t>Solid aggregate concrete blocks collar jointed</t>
  </si>
  <si>
    <t>Solid aggregate concrete blocks laid flat</t>
  </si>
  <si>
    <t>Category I</t>
  </si>
  <si>
    <t>Category II</t>
  </si>
  <si>
    <t>M2</t>
  </si>
  <si>
    <t>M4</t>
  </si>
  <si>
    <t>M6</t>
  </si>
  <si>
    <t>M12</t>
  </si>
  <si>
    <t>Normal</t>
  </si>
  <si>
    <t>Special</t>
  </si>
  <si>
    <t>LOADING:</t>
  </si>
  <si>
    <t>mm</t>
  </si>
  <si>
    <t>/</t>
  </si>
  <si>
    <t>(i)</t>
  </si>
  <si>
    <t>(ii)</t>
  </si>
  <si>
    <t>(iii)</t>
  </si>
  <si>
    <t>(iv)</t>
  </si>
  <si>
    <t>or</t>
  </si>
  <si>
    <t>b)</t>
  </si>
  <si>
    <t>c)</t>
  </si>
  <si>
    <t>greater</t>
  </si>
  <si>
    <t>d)</t>
  </si>
  <si>
    <t>e)</t>
  </si>
  <si>
    <t>f)</t>
  </si>
  <si>
    <t>g)</t>
  </si>
  <si>
    <t>h)</t>
  </si>
  <si>
    <t>Type 1</t>
  </si>
  <si>
    <r>
      <t>N/mm</t>
    </r>
    <r>
      <rPr>
        <vertAlign val="superscript"/>
        <sz val="11"/>
        <color indexed="8"/>
        <rFont val="Calibri"/>
        <family val="2"/>
      </rPr>
      <t>2</t>
    </r>
  </si>
  <si>
    <t>CS</t>
  </si>
  <si>
    <t>#</t>
  </si>
  <si>
    <t>?</t>
  </si>
  <si>
    <t>"i"</t>
  </si>
  <si>
    <t>"ii"</t>
  </si>
  <si>
    <t>"iii"</t>
  </si>
  <si>
    <t>"iv"</t>
  </si>
  <si>
    <t>Table 2a</t>
  </si>
  <si>
    <t>Table 2b</t>
  </si>
  <si>
    <t>Table 2e</t>
  </si>
  <si>
    <t>Table 2c</t>
  </si>
  <si>
    <t>Table 2d</t>
  </si>
  <si>
    <t>Table 2f</t>
  </si>
  <si>
    <t>Table 2g</t>
  </si>
  <si>
    <t>Table 2h</t>
  </si>
  <si>
    <t>Yes</t>
  </si>
  <si>
    <t>No</t>
  </si>
  <si>
    <t>Type 2</t>
  </si>
  <si>
    <r>
      <t>kN/mm</t>
    </r>
    <r>
      <rPr>
        <vertAlign val="superscript"/>
        <sz val="11"/>
        <color indexed="8"/>
        <rFont val="Calibri"/>
        <family val="2"/>
      </rPr>
      <t>2</t>
    </r>
  </si>
  <si>
    <r>
      <t>N/mm</t>
    </r>
    <r>
      <rPr>
        <vertAlign val="superscript"/>
        <sz val="11"/>
        <color indexed="8"/>
        <rFont val="Calibri"/>
        <family val="2"/>
      </rPr>
      <t>3</t>
    </r>
  </si>
  <si>
    <r>
      <t>mm</t>
    </r>
    <r>
      <rPr>
        <vertAlign val="superscript"/>
        <sz val="11"/>
        <color indexed="8"/>
        <rFont val="Calibri"/>
        <family val="2"/>
      </rPr>
      <t>4</t>
    </r>
  </si>
  <si>
    <r>
      <t>mm</t>
    </r>
    <r>
      <rPr>
        <vertAlign val="superscript"/>
        <sz val="11"/>
        <color indexed="8"/>
        <rFont val="Calibri"/>
        <family val="2"/>
      </rPr>
      <t>-1</t>
    </r>
  </si>
  <si>
    <t>case</t>
  </si>
  <si>
    <t>valid?</t>
  </si>
  <si>
    <t xml:space="preserve"> </t>
  </si>
  <si>
    <t>ea</t>
  </si>
  <si>
    <t>et</t>
  </si>
  <si>
    <t>em</t>
  </si>
  <si>
    <t>ex</t>
  </si>
  <si>
    <t>beta</t>
  </si>
  <si>
    <r>
      <t xml:space="preserve">Version: </t>
    </r>
    <r>
      <rPr>
        <b/>
        <sz val="11"/>
        <rFont val="Calibri"/>
        <family val="2"/>
        <scheme val="minor"/>
      </rPr>
      <t>1.0.</t>
    </r>
  </si>
  <si>
    <r>
      <t xml:space="preserve">© 2016 </t>
    </r>
    <r>
      <rPr>
        <b/>
        <sz val="11"/>
        <rFont val="Calibri"/>
        <family val="2"/>
        <scheme val="minor"/>
      </rPr>
      <t>Damian Janicki</t>
    </r>
  </si>
  <si>
    <r>
      <t xml:space="preserve">  YourSpreadsheets</t>
    </r>
    <r>
      <rPr>
        <b/>
        <sz val="13"/>
        <rFont val="Calibri"/>
        <family val="2"/>
      </rPr>
      <t>™</t>
    </r>
    <r>
      <rPr>
        <b/>
        <sz val="13"/>
        <rFont val="Arial"/>
        <family val="2"/>
        <charset val="238"/>
      </rPr>
      <t xml:space="preserve">
</t>
    </r>
    <r>
      <rPr>
        <sz val="10"/>
        <rFont val="Arial"/>
        <family val="2"/>
        <charset val="238"/>
      </rPr>
      <t xml:space="preserve">   2nd Floor, 52 Marcus Hill, London
   www.YourSpreadsheets.co.uk
   Tel: 020 7542 8734</t>
    </r>
  </si>
  <si>
    <t>TEST PROJECT</t>
  </si>
  <si>
    <t>Revision</t>
  </si>
  <si>
    <t>A</t>
  </si>
  <si>
    <t>Page:</t>
  </si>
  <si>
    <t>Job No:</t>
  </si>
  <si>
    <t>Date:</t>
  </si>
  <si>
    <t xml:space="preserve">Member: </t>
  </si>
  <si>
    <t>Prepared By:</t>
  </si>
  <si>
    <t>DJ</t>
  </si>
  <si>
    <t>Checked By:</t>
  </si>
  <si>
    <t>MASONRY DATA:</t>
  </si>
  <si>
    <t>DIAGRAM:</t>
  </si>
  <si>
    <r>
      <t>Compressive unit strength 'p</t>
    </r>
    <r>
      <rPr>
        <vertAlign val="subscript"/>
        <sz val="11"/>
        <rFont val="Calibri"/>
        <family val="2"/>
        <scheme val="minor"/>
      </rPr>
      <t>unit</t>
    </r>
    <r>
      <rPr>
        <sz val="11"/>
        <color theme="1"/>
        <rFont val="Calibri"/>
        <family val="2"/>
        <scheme val="minor"/>
      </rPr>
      <t>' [</t>
    </r>
    <r>
      <rPr>
        <i/>
        <sz val="11"/>
        <rFont val="Calibri"/>
        <family val="2"/>
        <scheme val="minor"/>
      </rPr>
      <t>N/mm</t>
    </r>
    <r>
      <rPr>
        <i/>
        <vertAlign val="superscript"/>
        <sz val="11"/>
        <rFont val="Calibri"/>
        <family val="2"/>
        <scheme val="minor"/>
      </rPr>
      <t>2</t>
    </r>
    <r>
      <rPr>
        <sz val="11"/>
        <color theme="1"/>
        <rFont val="Calibri"/>
        <family val="2"/>
        <scheme val="minor"/>
      </rPr>
      <t>] =</t>
    </r>
  </si>
  <si>
    <r>
      <t xml:space="preserve">Spreadsheet provided by: </t>
    </r>
    <r>
      <rPr>
        <b/>
        <sz val="11"/>
        <rFont val="Calibri"/>
        <family val="2"/>
        <scheme val="minor"/>
      </rPr>
      <t>www.YourSpreadsheets.co.uk</t>
    </r>
  </si>
  <si>
    <r>
      <t xml:space="preserve">© 2016 </t>
    </r>
    <r>
      <rPr>
        <b/>
        <sz val="10"/>
        <rFont val="Arial CE"/>
      </rPr>
      <t>Damian Janicki</t>
    </r>
  </si>
  <si>
    <t>For latest updates and news visit:</t>
  </si>
  <si>
    <t>Contact me at:</t>
  </si>
  <si>
    <t>www.YourSpreadsheets.co.uk</t>
  </si>
  <si>
    <t>info@yourspreadsheets.co.uk</t>
  </si>
  <si>
    <r>
      <t xml:space="preserve">General information:
</t>
    </r>
    <r>
      <rPr>
        <sz val="10"/>
        <rFont val="Arial CE"/>
      </rPr>
      <t>Note: This spreadsheet contains macros.</t>
    </r>
  </si>
  <si>
    <r>
      <t xml:space="preserve">Version: </t>
    </r>
    <r>
      <rPr>
        <b/>
        <sz val="10"/>
        <rFont val="Arial CE"/>
      </rPr>
      <t>1.0. - FREE LITE VERSION</t>
    </r>
  </si>
  <si>
    <r>
      <rPr>
        <sz val="10"/>
        <rFont val="Arial CE"/>
      </rPr>
      <t xml:space="preserve">The Author takes no liability for use of this spreadsheet and gives no guarantee that it is error free. 
In no event shall the Author be responsible for any special, incidental or consequential damages whatsoever arising from the use of this spreadsheet, even if the Author has been advised of the possibility of such damage.
This spreadsheet is a freeware and can be distributed freely but only in its original form.
Reverse-engineering, decompiling or disassembling of this spreadsheet is not allowable.
By using this spreadsheet you understand and agree with the above terms and conditions. You also acknowledge that you do not become the owner of this spreadsheet.
</t>
    </r>
    <r>
      <rPr>
        <b/>
        <sz val="10"/>
        <rFont val="Arial CE"/>
      </rPr>
      <t>Damian Janicki</t>
    </r>
  </si>
  <si>
    <r>
      <t xml:space="preserve">This is a </t>
    </r>
    <r>
      <rPr>
        <b/>
        <sz val="10"/>
        <rFont val="Arial CE"/>
      </rPr>
      <t>Free Lite</t>
    </r>
    <r>
      <rPr>
        <sz val="10"/>
        <rFont val="Arial CE"/>
      </rPr>
      <t xml:space="preserve"> Version. The full version of the spreadsheet allows to:
- Input your company information, change logo and change header information
- Change applied axial load
- Change column heights in x-axis etc</t>
    </r>
  </si>
  <si>
    <t>Aggregate concrete blocks (&lt;25% voids)</t>
  </si>
  <si>
    <t>Aggregate concrete blocks (25% to 60% voids)</t>
  </si>
  <si>
    <r>
      <t>Thickness of second leaf 't</t>
    </r>
    <r>
      <rPr>
        <vertAlign val="subscript"/>
        <sz val="11"/>
        <rFont val="Calibri"/>
        <family val="2"/>
        <scheme val="minor"/>
      </rPr>
      <t>2</t>
    </r>
    <r>
      <rPr>
        <sz val="11"/>
        <rFont val="Calibri"/>
        <family val="2"/>
        <scheme val="minor"/>
      </rPr>
      <t>' [</t>
    </r>
    <r>
      <rPr>
        <i/>
        <sz val="11"/>
        <rFont val="Calibri"/>
        <family val="2"/>
        <scheme val="minor"/>
      </rPr>
      <t>mm</t>
    </r>
    <r>
      <rPr>
        <sz val="11"/>
        <rFont val="Calibri"/>
        <family val="2"/>
        <scheme val="minor"/>
      </rPr>
      <t>] =</t>
    </r>
  </si>
  <si>
    <r>
      <t>Thickness of load bearing leaf 't</t>
    </r>
    <r>
      <rPr>
        <vertAlign val="subscript"/>
        <sz val="11"/>
        <rFont val="Calibri"/>
        <family val="2"/>
        <scheme val="minor"/>
      </rPr>
      <t>1</t>
    </r>
    <r>
      <rPr>
        <sz val="11"/>
        <rFont val="Calibri"/>
        <family val="2"/>
        <scheme val="minor"/>
      </rPr>
      <t>' [</t>
    </r>
    <r>
      <rPr>
        <i/>
        <sz val="11"/>
        <rFont val="Calibri"/>
        <family val="2"/>
        <scheme val="minor"/>
      </rPr>
      <t>mm</t>
    </r>
    <r>
      <rPr>
        <sz val="11"/>
        <rFont val="Calibri"/>
        <family val="2"/>
        <scheme val="minor"/>
      </rPr>
      <t>] =</t>
    </r>
  </si>
  <si>
    <r>
      <t>Effective height of masonry wall 'h</t>
    </r>
    <r>
      <rPr>
        <vertAlign val="subscript"/>
        <sz val="11"/>
        <rFont val="Calibri"/>
        <family val="2"/>
        <scheme val="minor"/>
      </rPr>
      <t>eff</t>
    </r>
    <r>
      <rPr>
        <sz val="11"/>
        <rFont val="Calibri"/>
        <family val="2"/>
        <scheme val="minor"/>
      </rPr>
      <t>' [</t>
    </r>
    <r>
      <rPr>
        <i/>
        <sz val="11"/>
        <rFont val="Calibri"/>
        <family val="2"/>
        <scheme val="minor"/>
      </rPr>
      <t>m</t>
    </r>
    <r>
      <rPr>
        <sz val="11"/>
        <rFont val="Calibri"/>
        <family val="2"/>
        <scheme val="minor"/>
      </rPr>
      <t>] =</t>
    </r>
  </si>
  <si>
    <t>Lateral supports:</t>
  </si>
  <si>
    <t>PARTIAL SAFETY FACTORS:</t>
  </si>
  <si>
    <t>Mortar strength class/designation =</t>
  </si>
  <si>
    <r>
      <t>Characteristic compressive strength 'f</t>
    </r>
    <r>
      <rPr>
        <vertAlign val="subscript"/>
        <sz val="11"/>
        <rFont val="Calibri"/>
        <family val="2"/>
        <scheme val="minor"/>
      </rPr>
      <t>k</t>
    </r>
    <r>
      <rPr>
        <sz val="11"/>
        <rFont val="Calibri"/>
        <family val="2"/>
        <scheme val="minor"/>
      </rPr>
      <t>' [</t>
    </r>
    <r>
      <rPr>
        <i/>
        <sz val="11"/>
        <rFont val="Calibri"/>
        <family val="2"/>
        <scheme val="minor"/>
      </rPr>
      <t>N/mm</t>
    </r>
    <r>
      <rPr>
        <i/>
        <vertAlign val="superscript"/>
        <sz val="11"/>
        <rFont val="Calibri"/>
        <family val="2"/>
        <scheme val="minor"/>
      </rPr>
      <t>2</t>
    </r>
    <r>
      <rPr>
        <sz val="11"/>
        <rFont val="Calibri"/>
        <family val="2"/>
        <scheme val="minor"/>
      </rPr>
      <t>] =</t>
    </r>
  </si>
  <si>
    <t>SUMMARY OF RESULTS:</t>
  </si>
  <si>
    <t>M4 (iii)</t>
  </si>
  <si>
    <t>M6 (ii)</t>
  </si>
  <si>
    <t>M12 (i)</t>
  </si>
  <si>
    <t>M2 (iv)</t>
  </si>
  <si>
    <t>Provide simple resistance to lateral movement</t>
  </si>
  <si>
    <t>Provide enhanced resistance to lateral movement</t>
  </si>
  <si>
    <r>
      <t>Least horizontal dimension of masonry unit [</t>
    </r>
    <r>
      <rPr>
        <i/>
        <sz val="11"/>
        <rFont val="Calibri"/>
        <family val="2"/>
        <scheme val="minor"/>
      </rPr>
      <t>mm</t>
    </r>
    <r>
      <rPr>
        <sz val="11"/>
        <rFont val="Calibri"/>
        <family val="2"/>
        <scheme val="minor"/>
      </rPr>
      <t>] =</t>
    </r>
  </si>
  <si>
    <t>&gt;=3</t>
  </si>
  <si>
    <t>factor</t>
  </si>
  <si>
    <t>load</t>
  </si>
  <si>
    <r>
      <t xml:space="preserve">CALCULATIONS: </t>
    </r>
    <r>
      <rPr>
        <sz val="11"/>
        <rFont val="Calibri"/>
        <family val="2"/>
        <scheme val="minor"/>
      </rPr>
      <t>SPREADER DESIGN</t>
    </r>
  </si>
  <si>
    <t>SUPPORTED BEAM DETAILS:</t>
  </si>
  <si>
    <r>
      <t>Clear height of masonry wall 'h' [</t>
    </r>
    <r>
      <rPr>
        <i/>
        <sz val="11"/>
        <rFont val="Calibri"/>
        <family val="2"/>
        <scheme val="minor"/>
      </rPr>
      <t>m</t>
    </r>
    <r>
      <rPr>
        <sz val="11"/>
        <rFont val="Calibri"/>
        <family val="2"/>
        <scheme val="minor"/>
      </rPr>
      <t>] =</t>
    </r>
  </si>
  <si>
    <t>BEARING DESIGN EXAMPLE</t>
  </si>
  <si>
    <r>
      <t>Spreader length 'l</t>
    </r>
    <r>
      <rPr>
        <vertAlign val="subscript"/>
        <sz val="11"/>
        <rFont val="Calibri"/>
        <family val="2"/>
        <scheme val="minor"/>
      </rPr>
      <t>spreader</t>
    </r>
    <r>
      <rPr>
        <sz val="11"/>
        <rFont val="Calibri"/>
        <family val="2"/>
        <scheme val="minor"/>
      </rPr>
      <t>' [</t>
    </r>
    <r>
      <rPr>
        <i/>
        <sz val="11"/>
        <rFont val="Calibri"/>
        <family val="2"/>
        <scheme val="minor"/>
      </rPr>
      <t>mm</t>
    </r>
    <r>
      <rPr>
        <sz val="11"/>
        <rFont val="Calibri"/>
        <family val="2"/>
        <scheme val="minor"/>
      </rPr>
      <t>] =</t>
    </r>
  </si>
  <si>
    <r>
      <t>Bearing length 'l</t>
    </r>
    <r>
      <rPr>
        <vertAlign val="subscript"/>
        <sz val="11"/>
        <rFont val="Calibri"/>
        <family val="2"/>
        <scheme val="minor"/>
      </rPr>
      <t>bearing</t>
    </r>
    <r>
      <rPr>
        <sz val="11"/>
        <rFont val="Calibri"/>
        <family val="2"/>
        <scheme val="minor"/>
      </rPr>
      <t>' [</t>
    </r>
    <r>
      <rPr>
        <i/>
        <sz val="11"/>
        <rFont val="Calibri"/>
        <family val="2"/>
        <scheme val="minor"/>
      </rPr>
      <t>mm</t>
    </r>
    <r>
      <rPr>
        <sz val="11"/>
        <rFont val="Calibri"/>
        <family val="2"/>
        <scheme val="minor"/>
      </rPr>
      <t>] =</t>
    </r>
  </si>
  <si>
    <r>
      <t>Spreader height 'h</t>
    </r>
    <r>
      <rPr>
        <vertAlign val="subscript"/>
        <sz val="11"/>
        <rFont val="Calibri"/>
        <family val="2"/>
        <scheme val="minor"/>
      </rPr>
      <t>spreader</t>
    </r>
    <r>
      <rPr>
        <sz val="11"/>
        <rFont val="Calibri"/>
        <family val="2"/>
        <scheme val="minor"/>
      </rPr>
      <t>' [</t>
    </r>
    <r>
      <rPr>
        <i/>
        <sz val="11"/>
        <rFont val="Calibri"/>
        <family val="2"/>
        <scheme val="minor"/>
      </rPr>
      <t>mm</t>
    </r>
    <r>
      <rPr>
        <sz val="11"/>
        <rFont val="Calibri"/>
        <family val="2"/>
        <scheme val="minor"/>
      </rPr>
      <t>] =</t>
    </r>
  </si>
  <si>
    <t>Stress distribution similar to semi-infinite beam on elastic foundation</t>
  </si>
  <si>
    <t>Assumed triangular stress distribution</t>
  </si>
  <si>
    <r>
      <t>Bearing width 'b</t>
    </r>
    <r>
      <rPr>
        <vertAlign val="subscript"/>
        <sz val="11"/>
        <rFont val="Calibri"/>
        <family val="2"/>
        <scheme val="minor"/>
      </rPr>
      <t>bearing</t>
    </r>
    <r>
      <rPr>
        <sz val="11"/>
        <rFont val="Calibri"/>
        <family val="2"/>
        <scheme val="minor"/>
      </rPr>
      <t>' [</t>
    </r>
    <r>
      <rPr>
        <i/>
        <sz val="11"/>
        <rFont val="Calibri"/>
        <family val="2"/>
        <scheme val="minor"/>
      </rPr>
      <t>mm</t>
    </r>
    <r>
      <rPr>
        <sz val="11"/>
        <rFont val="Calibri"/>
        <family val="2"/>
        <scheme val="minor"/>
      </rPr>
      <t>] =</t>
    </r>
  </si>
  <si>
    <r>
      <t xml:space="preserve">CALCULATIONS: </t>
    </r>
    <r>
      <rPr>
        <sz val="11"/>
        <rFont val="Calibri"/>
        <family val="2"/>
        <scheme val="minor"/>
      </rPr>
      <t>BEARING STRESS IN WALL AT 0.4 h BELOW BEAM</t>
    </r>
  </si>
  <si>
    <r>
      <t>Effective thickness of masonry wall 't</t>
    </r>
    <r>
      <rPr>
        <vertAlign val="subscript"/>
        <sz val="11"/>
        <rFont val="Calibri"/>
        <family val="2"/>
        <scheme val="minor"/>
      </rPr>
      <t>eff</t>
    </r>
    <r>
      <rPr>
        <sz val="11"/>
        <rFont val="Calibri"/>
        <family val="2"/>
        <scheme val="minor"/>
      </rPr>
      <t>' [</t>
    </r>
    <r>
      <rPr>
        <i/>
        <sz val="11"/>
        <rFont val="Calibri"/>
        <family val="2"/>
        <scheme val="minor"/>
      </rPr>
      <t>mm</t>
    </r>
    <r>
      <rPr>
        <sz val="11"/>
        <rFont val="Calibri"/>
        <family val="2"/>
        <scheme val="minor"/>
      </rPr>
      <t>] =</t>
    </r>
  </si>
  <si>
    <t>edge distance</t>
  </si>
  <si>
    <t>Bearing type:</t>
  </si>
  <si>
    <t>Bearing factor:</t>
  </si>
  <si>
    <t>Design bearing stress =</t>
  </si>
  <si>
    <r>
      <t>Capacity reduction factor '</t>
    </r>
    <r>
      <rPr>
        <sz val="11"/>
        <color theme="1"/>
        <rFont val="Calibri"/>
        <family val="2"/>
      </rPr>
      <t>β</t>
    </r>
    <r>
      <rPr>
        <sz val="11"/>
        <color theme="1"/>
        <rFont val="Calibri"/>
        <family val="2"/>
        <scheme val="minor"/>
      </rPr>
      <t>' =</t>
    </r>
  </si>
  <si>
    <t>Allowable bearing stress =</t>
  </si>
  <si>
    <t>Utilisation factor =</t>
  </si>
  <si>
    <t>Design bearing stress at 0.4 h =</t>
  </si>
  <si>
    <t>Length of bearing distributed at 0.4 h =</t>
  </si>
  <si>
    <t>Eccentricity at top of wall =</t>
  </si>
  <si>
    <t>Slenderness ratio =</t>
  </si>
  <si>
    <r>
      <t xml:space="preserve">calculations are based on </t>
    </r>
    <r>
      <rPr>
        <b/>
        <sz val="11"/>
        <rFont val="Calibri"/>
        <family val="2"/>
        <scheme val="minor"/>
      </rPr>
      <t>BS 5628-1: 2005</t>
    </r>
  </si>
  <si>
    <r>
      <t>Beam dead load reaction 'R</t>
    </r>
    <r>
      <rPr>
        <vertAlign val="subscript"/>
        <sz val="11"/>
        <rFont val="Calibri"/>
        <family val="2"/>
        <scheme val="minor"/>
      </rPr>
      <t>dead</t>
    </r>
    <r>
      <rPr>
        <sz val="11"/>
        <rFont val="Calibri"/>
        <family val="2"/>
        <scheme val="minor"/>
      </rPr>
      <t>' [</t>
    </r>
    <r>
      <rPr>
        <i/>
        <sz val="11"/>
        <rFont val="Calibri"/>
        <family val="2"/>
        <scheme val="minor"/>
      </rPr>
      <t>kN</t>
    </r>
    <r>
      <rPr>
        <sz val="11"/>
        <rFont val="Calibri"/>
        <family val="2"/>
        <scheme val="minor"/>
      </rPr>
      <t>] =</t>
    </r>
  </si>
  <si>
    <r>
      <t>Beam imposed load reaction 'R</t>
    </r>
    <r>
      <rPr>
        <vertAlign val="subscript"/>
        <sz val="11"/>
        <rFont val="Calibri"/>
        <family val="2"/>
        <scheme val="minor"/>
      </rPr>
      <t>imposed</t>
    </r>
    <r>
      <rPr>
        <sz val="11"/>
        <rFont val="Calibri"/>
        <family val="2"/>
        <scheme val="minor"/>
      </rPr>
      <t>' [</t>
    </r>
    <r>
      <rPr>
        <i/>
        <sz val="11"/>
        <rFont val="Calibri"/>
        <family val="2"/>
        <scheme val="minor"/>
      </rPr>
      <t>kN</t>
    </r>
    <r>
      <rPr>
        <sz val="11"/>
        <rFont val="Calibri"/>
        <family val="2"/>
        <scheme val="minor"/>
      </rPr>
      <t>] =</t>
    </r>
  </si>
  <si>
    <r>
      <t>Wall distributed dead load 'UDL</t>
    </r>
    <r>
      <rPr>
        <vertAlign val="subscript"/>
        <sz val="11"/>
        <rFont val="Calibri"/>
        <family val="2"/>
        <scheme val="minor"/>
      </rPr>
      <t>dead</t>
    </r>
    <r>
      <rPr>
        <sz val="11"/>
        <rFont val="Calibri"/>
        <family val="2"/>
        <scheme val="minor"/>
      </rPr>
      <t>' [</t>
    </r>
    <r>
      <rPr>
        <i/>
        <sz val="11"/>
        <rFont val="Calibri"/>
        <family val="2"/>
        <scheme val="minor"/>
      </rPr>
      <t>kN/m</t>
    </r>
    <r>
      <rPr>
        <sz val="11"/>
        <rFont val="Calibri"/>
        <family val="2"/>
        <scheme val="minor"/>
      </rPr>
      <t>] =</t>
    </r>
  </si>
  <si>
    <r>
      <t>Wall distributed imposed load 'UDL</t>
    </r>
    <r>
      <rPr>
        <vertAlign val="subscript"/>
        <sz val="11"/>
        <rFont val="Calibri"/>
        <family val="2"/>
        <scheme val="minor"/>
      </rPr>
      <t>imposed</t>
    </r>
    <r>
      <rPr>
        <sz val="11"/>
        <rFont val="Calibri"/>
        <family val="2"/>
        <scheme val="minor"/>
      </rPr>
      <t>' [</t>
    </r>
    <r>
      <rPr>
        <i/>
        <sz val="11"/>
        <rFont val="Calibri"/>
        <family val="2"/>
        <scheme val="minor"/>
      </rPr>
      <t>kN/m</t>
    </r>
    <r>
      <rPr>
        <sz val="11"/>
        <rFont val="Calibri"/>
        <family val="2"/>
        <scheme val="minor"/>
      </rPr>
      <t>] =</t>
    </r>
  </si>
  <si>
    <r>
      <t>Total factored beam reaction 'R</t>
    </r>
    <r>
      <rPr>
        <vertAlign val="subscript"/>
        <sz val="11"/>
        <rFont val="Calibri"/>
        <family val="2"/>
        <scheme val="minor"/>
      </rPr>
      <t>total</t>
    </r>
    <r>
      <rPr>
        <sz val="11"/>
        <rFont val="Calibri"/>
        <family val="2"/>
        <scheme val="minor"/>
      </rPr>
      <t>' [</t>
    </r>
    <r>
      <rPr>
        <i/>
        <sz val="11"/>
        <rFont val="Calibri"/>
        <family val="2"/>
        <scheme val="minor"/>
      </rPr>
      <t>kN</t>
    </r>
    <r>
      <rPr>
        <sz val="11"/>
        <rFont val="Calibri"/>
        <family val="2"/>
        <scheme val="minor"/>
      </rPr>
      <t>] =</t>
    </r>
  </si>
  <si>
    <r>
      <t>Total factored distributed load 'UDL</t>
    </r>
    <r>
      <rPr>
        <vertAlign val="subscript"/>
        <sz val="11"/>
        <rFont val="Calibri"/>
        <family val="2"/>
        <scheme val="minor"/>
      </rPr>
      <t>total</t>
    </r>
    <r>
      <rPr>
        <sz val="11"/>
        <rFont val="Calibri"/>
        <family val="2"/>
        <scheme val="minor"/>
      </rPr>
      <t>' [</t>
    </r>
    <r>
      <rPr>
        <i/>
        <sz val="11"/>
        <rFont val="Calibri"/>
        <family val="2"/>
        <scheme val="minor"/>
      </rPr>
      <t>kN/m</t>
    </r>
    <r>
      <rPr>
        <sz val="11"/>
        <rFont val="Calibri"/>
        <family val="2"/>
        <scheme val="minor"/>
      </rPr>
      <t>] =</t>
    </r>
  </si>
  <si>
    <t>LOADING ACTS AT MIDPOINT OF SPREADER</t>
  </si>
  <si>
    <t>LOADING ACTS ECCENTRICALLY</t>
  </si>
  <si>
    <t>LOADING ACTS ECCENTRICALLY WITHIN MIDDLE THIRD</t>
  </si>
  <si>
    <t>LOADING ACTS ECCENTRICALLY OUTSIDE MIDDLE THIRD</t>
  </si>
  <si>
    <r>
      <t>N/mm</t>
    </r>
    <r>
      <rPr>
        <vertAlign val="superscript"/>
        <sz val="11"/>
        <rFont val="Calibri"/>
        <family val="2"/>
        <scheme val="minor"/>
      </rPr>
      <t>2</t>
    </r>
  </si>
  <si>
    <r>
      <t>mm</t>
    </r>
    <r>
      <rPr>
        <vertAlign val="superscript"/>
        <sz val="11"/>
        <rFont val="Calibri"/>
        <family val="2"/>
        <scheme val="minor"/>
      </rPr>
      <t>4</t>
    </r>
  </si>
  <si>
    <r>
      <t>mm</t>
    </r>
    <r>
      <rPr>
        <vertAlign val="superscript"/>
        <sz val="11"/>
        <rFont val="Calibri"/>
        <family val="2"/>
        <scheme val="minor"/>
      </rPr>
      <t>-1</t>
    </r>
  </si>
  <si>
    <t>Modulus of elasticity of masonry wall =</t>
  </si>
  <si>
    <t>Modulus of elasticity of spreader =</t>
  </si>
  <si>
    <t>Modulus of wall =</t>
  </si>
  <si>
    <t>Moment of inertia of spreader =</t>
  </si>
  <si>
    <t>Eccentricity of load =</t>
  </si>
  <si>
    <t>Offset distance =</t>
  </si>
  <si>
    <t>bearing width</t>
  </si>
  <si>
    <t>bearing length</t>
  </si>
  <si>
    <t>spreader length</t>
  </si>
  <si>
    <t>spreader height</t>
  </si>
  <si>
    <t>leaf thickness</t>
  </si>
  <si>
    <r>
      <t xml:space="preserve">CALCULATIONS: </t>
    </r>
    <r>
      <rPr>
        <sz val="11"/>
        <rFont val="Calibri"/>
        <family val="2"/>
        <scheme val="minor"/>
      </rPr>
      <t>BEARING STRESS BELOW SUPPORTED BEAM</t>
    </r>
  </si>
  <si>
    <t>Bearing stress below supported beam =</t>
  </si>
  <si>
    <t>Bearing stress in wall at 0.4 h below beam =</t>
  </si>
  <si>
    <t>Bearing stress below spreader =</t>
  </si>
  <si>
    <t>Supported beam spans parallel to wall:</t>
  </si>
  <si>
    <t>note 1</t>
  </si>
  <si>
    <t>note 2</t>
  </si>
  <si>
    <t>DESIGNER'S NOTES</t>
  </si>
  <si>
    <r>
      <t>Constant '</t>
    </r>
    <r>
      <rPr>
        <sz val="11"/>
        <rFont val="Calibri"/>
        <family val="2"/>
      </rPr>
      <t>γ</t>
    </r>
    <r>
      <rPr>
        <sz val="11"/>
        <rFont val="Calibri"/>
        <family val="2"/>
        <scheme val="minor"/>
      </rPr>
      <t>' =</t>
    </r>
  </si>
  <si>
    <t>Parallel</t>
  </si>
  <si>
    <t>ParallelSpreader</t>
  </si>
  <si>
    <t>Perpendicular</t>
  </si>
  <si>
    <t>PerpendicularSpreader</t>
  </si>
  <si>
    <r>
      <t>Partial safety factor for material strength 'γ</t>
    </r>
    <r>
      <rPr>
        <vertAlign val="subscript"/>
        <sz val="11"/>
        <rFont val="Calibri"/>
        <family val="2"/>
        <scheme val="minor"/>
      </rPr>
      <t>m</t>
    </r>
    <r>
      <rPr>
        <sz val="11"/>
        <rFont val="Calibri"/>
        <family val="2"/>
        <scheme val="minor"/>
      </rPr>
      <t>' :</t>
    </r>
  </si>
  <si>
    <r>
      <t>Bearing eccentricity 'e</t>
    </r>
    <r>
      <rPr>
        <vertAlign val="subscript"/>
        <sz val="11"/>
        <rFont val="Calibri"/>
        <family val="2"/>
        <scheme val="minor"/>
      </rPr>
      <t>x</t>
    </r>
    <r>
      <rPr>
        <sz val="11"/>
        <rFont val="Calibri"/>
        <family val="2"/>
        <scheme val="minor"/>
      </rPr>
      <t>' [</t>
    </r>
    <r>
      <rPr>
        <i/>
        <sz val="11"/>
        <rFont val="Calibri"/>
        <family val="2"/>
        <scheme val="minor"/>
      </rPr>
      <t>mm</t>
    </r>
    <r>
      <rPr>
        <sz val="11"/>
        <rFont val="Calibri"/>
        <family val="2"/>
        <scheme val="minor"/>
      </rPr>
      <t>] =</t>
    </r>
  </si>
  <si>
    <t>bearing eccentricity</t>
  </si>
  <si>
    <r>
      <t>Edge distance 'c</t>
    </r>
    <r>
      <rPr>
        <vertAlign val="subscript"/>
        <sz val="11"/>
        <rFont val="Calibri"/>
        <family val="2"/>
        <scheme val="minor"/>
      </rPr>
      <t>edge</t>
    </r>
    <r>
      <rPr>
        <sz val="11"/>
        <rFont val="Calibri"/>
        <family val="2"/>
        <scheme val="minor"/>
      </rPr>
      <t>' [</t>
    </r>
    <r>
      <rPr>
        <i/>
        <sz val="11"/>
        <rFont val="Calibri"/>
        <family val="2"/>
        <scheme val="minor"/>
      </rPr>
      <t>mm</t>
    </r>
    <r>
      <rPr>
        <sz val="11"/>
        <rFont val="Calibri"/>
        <family val="2"/>
        <scheme val="minor"/>
      </rPr>
      <t>] =</t>
    </r>
  </si>
  <si>
    <t>height to least horizontal dimension to be between 0.6 and 4.5</t>
  </si>
  <si>
    <t>height to wall thickness (t) to be between 1 and 1.2</t>
  </si>
  <si>
    <t>height to wall thickness (t) to be between 0.4 and 0.6</t>
  </si>
  <si>
    <t>[All dimensions are in mm. Not to scale]</t>
  </si>
  <si>
    <t>Manufacturing control of masonry units:</t>
  </si>
  <si>
    <t>Construction control of masonry wall:</t>
  </si>
  <si>
    <t>SPREADER (PADSTONE) DETAILS:</t>
  </si>
  <si>
    <r>
      <t>This spreadsheet is based on BS5628-1 (2005).
Changelog:
24.09.2016 - v.1.0.</t>
    </r>
    <r>
      <rPr>
        <sz val="10"/>
        <rFont val="Arial CE"/>
      </rPr>
      <t xml:space="preserve"> - official release of the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</si>
</sst>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d/mm/yyyy;@"/>
    <numFmt numFmtId="167" formatCode="[$-415]d/mmm/yyyy;@"/>
  </numFmts>
  <fonts count="26">
    <font>
      <sz val="11"/>
      <color theme="1"/>
      <name val="Calibri"/>
      <family val="2"/>
      <scheme val="minor"/>
    </font>
    <font>
      <vertAlign val="superscript"/>
      <sz val="11"/>
      <color indexed="8"/>
      <name val="Calibri"/>
      <family val="2"/>
    </font>
    <font>
      <b/>
      <sz val="11"/>
      <color theme="1"/>
      <name val="Calibri"/>
      <family val="2"/>
      <scheme val="minor"/>
    </font>
    <font>
      <sz val="10"/>
      <name val="Arial CE"/>
      <charset val="238"/>
    </font>
    <font>
      <sz val="10"/>
      <name val="Calibri"/>
      <family val="2"/>
      <scheme val="minor"/>
    </font>
    <font>
      <sz val="11"/>
      <name val="Calibri"/>
      <family val="2"/>
      <scheme val="minor"/>
    </font>
    <font>
      <b/>
      <sz val="11"/>
      <name val="Calibri"/>
      <family val="2"/>
      <scheme val="minor"/>
    </font>
    <font>
      <b/>
      <sz val="12"/>
      <name val="Arial"/>
      <family val="2"/>
      <charset val="238"/>
    </font>
    <font>
      <b/>
      <sz val="13"/>
      <name val="Arial"/>
      <family val="2"/>
      <charset val="238"/>
    </font>
    <font>
      <b/>
      <sz val="13"/>
      <name val="Calibri"/>
      <family val="2"/>
    </font>
    <font>
      <sz val="10"/>
      <name val="Arial"/>
      <family val="2"/>
      <charset val="238"/>
    </font>
    <font>
      <b/>
      <sz val="13"/>
      <name val="Calibri"/>
      <family val="2"/>
      <scheme val="minor"/>
    </font>
    <font>
      <b/>
      <u/>
      <sz val="11"/>
      <name val="Calibri"/>
      <family val="2"/>
      <scheme val="minor"/>
    </font>
    <font>
      <u/>
      <sz val="10"/>
      <color indexed="12"/>
      <name val="Arial CE"/>
      <charset val="238"/>
    </font>
    <font>
      <u/>
      <sz val="11"/>
      <color indexed="12"/>
      <name val="Calibri"/>
      <family val="2"/>
      <scheme val="minor"/>
    </font>
    <font>
      <b/>
      <sz val="11"/>
      <color rgb="FF0000CC"/>
      <name val="Calibri"/>
      <family val="2"/>
      <scheme val="minor"/>
    </font>
    <font>
      <vertAlign val="subscript"/>
      <sz val="11"/>
      <name val="Calibri"/>
      <family val="2"/>
      <scheme val="minor"/>
    </font>
    <font>
      <i/>
      <sz val="11"/>
      <name val="Calibri"/>
      <family val="2"/>
      <scheme val="minor"/>
    </font>
    <font>
      <i/>
      <vertAlign val="superscript"/>
      <sz val="11"/>
      <name val="Calibri"/>
      <family val="2"/>
      <scheme val="minor"/>
    </font>
    <font>
      <b/>
      <sz val="10"/>
      <name val="Arial CE"/>
    </font>
    <font>
      <b/>
      <sz val="10"/>
      <name val="Arial CE"/>
      <charset val="238"/>
    </font>
    <font>
      <sz val="10"/>
      <name val="Arial CE"/>
    </font>
    <font>
      <sz val="11"/>
      <color theme="1"/>
      <name val="Calibri"/>
      <family val="2"/>
    </font>
    <font>
      <vertAlign val="superscript"/>
      <sz val="11"/>
      <name val="Calibri"/>
      <family val="2"/>
      <scheme val="minor"/>
    </font>
    <font>
      <sz val="11"/>
      <name val="Calibri"/>
      <family val="2"/>
    </font>
    <font>
      <b/>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33"/>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xf numFmtId="0" fontId="3" fillId="0" borderId="0"/>
    <xf numFmtId="0" fontId="13" fillId="0" borderId="0" applyNumberFormat="0" applyFill="0" applyBorder="0" applyAlignment="0" applyProtection="0">
      <alignment vertical="top"/>
      <protection locked="0"/>
    </xf>
    <xf numFmtId="0" fontId="3" fillId="0" borderId="0"/>
  </cellStyleXfs>
  <cellXfs count="339">
    <xf numFmtId="0" fontId="0" fillId="0" borderId="0" xfId="0"/>
    <xf numFmtId="0" fontId="4" fillId="3" borderId="0" xfId="1" applyFont="1" applyFill="1" applyProtection="1">
      <protection hidden="1"/>
    </xf>
    <xf numFmtId="0" fontId="5" fillId="3" borderId="0" xfId="1" applyFont="1" applyFill="1" applyBorder="1" applyAlignment="1" applyProtection="1">
      <alignment horizontal="right"/>
      <protection hidden="1"/>
    </xf>
    <xf numFmtId="0" fontId="5" fillId="3" borderId="0" xfId="1" applyFont="1" applyFill="1" applyProtection="1">
      <protection hidden="1"/>
    </xf>
    <xf numFmtId="2" fontId="4" fillId="0" borderId="12" xfId="1" applyNumberFormat="1" applyFont="1" applyFill="1" applyBorder="1" applyAlignment="1" applyProtection="1">
      <alignment vertical="center"/>
      <protection hidden="1"/>
    </xf>
    <xf numFmtId="2" fontId="6" fillId="3" borderId="0" xfId="1" applyNumberFormat="1" applyFont="1" applyFill="1" applyBorder="1" applyAlignment="1" applyProtection="1">
      <alignment horizontal="center" vertical="center"/>
      <protection hidden="1"/>
    </xf>
    <xf numFmtId="0" fontId="12" fillId="3" borderId="0" xfId="1" applyFont="1" applyFill="1" applyBorder="1" applyAlignment="1" applyProtection="1">
      <alignment vertical="center"/>
      <protection hidden="1"/>
    </xf>
    <xf numFmtId="0" fontId="12" fillId="3" borderId="0" xfId="1" applyFont="1" applyFill="1" applyBorder="1" applyAlignment="1" applyProtection="1">
      <alignment horizontal="center" vertical="center"/>
      <protection hidden="1"/>
    </xf>
    <xf numFmtId="0" fontId="5" fillId="3" borderId="0" xfId="1" applyFont="1" applyFill="1" applyBorder="1" applyAlignment="1" applyProtection="1">
      <alignment vertical="center" wrapText="1"/>
      <protection hidden="1"/>
    </xf>
    <xf numFmtId="0" fontId="4" fillId="0" borderId="4" xfId="1" applyFont="1" applyFill="1" applyBorder="1" applyAlignment="1" applyProtection="1">
      <alignment vertical="center"/>
      <protection hidden="1"/>
    </xf>
    <xf numFmtId="0" fontId="5" fillId="0" borderId="4" xfId="1" applyFont="1" applyFill="1" applyBorder="1" applyAlignment="1" applyProtection="1">
      <alignment vertical="center"/>
      <protection hidden="1"/>
    </xf>
    <xf numFmtId="167" fontId="6" fillId="3" borderId="0" xfId="1" applyNumberFormat="1" applyFont="1" applyFill="1" applyBorder="1" applyAlignment="1" applyProtection="1">
      <alignment horizontal="center" vertical="center"/>
      <protection hidden="1"/>
    </xf>
    <xf numFmtId="0" fontId="14" fillId="0" borderId="0" xfId="2"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2" fontId="5" fillId="0" borderId="0" xfId="1" applyNumberFormat="1" applyFont="1" applyFill="1" applyBorder="1" applyAlignment="1" applyProtection="1">
      <alignment vertical="center"/>
      <protection hidden="1"/>
    </xf>
    <xf numFmtId="2" fontId="5" fillId="0" borderId="15" xfId="1" applyNumberFormat="1" applyFont="1" applyFill="1" applyBorder="1" applyAlignment="1" applyProtection="1">
      <alignment vertical="center"/>
      <protection hidden="1"/>
    </xf>
    <xf numFmtId="2" fontId="5" fillId="3" borderId="0" xfId="1" applyNumberFormat="1" applyFont="1" applyFill="1" applyBorder="1" applyProtection="1">
      <protection hidden="1"/>
    </xf>
    <xf numFmtId="0" fontId="5" fillId="0" borderId="0" xfId="1" applyFont="1" applyBorder="1" applyAlignment="1" applyProtection="1">
      <alignment vertical="center"/>
      <protection hidden="1"/>
    </xf>
    <xf numFmtId="2" fontId="5" fillId="3" borderId="0" xfId="1" applyNumberFormat="1" applyFont="1" applyFill="1" applyProtection="1">
      <protection hidden="1"/>
    </xf>
    <xf numFmtId="2" fontId="5" fillId="3" borderId="0" xfId="1" applyNumberFormat="1" applyFont="1" applyFill="1" applyBorder="1" applyAlignment="1" applyProtection="1">
      <alignment horizontal="left"/>
      <protection hidden="1"/>
    </xf>
    <xf numFmtId="2" fontId="5" fillId="0" borderId="15" xfId="1" applyNumberFormat="1" applyFont="1" applyFill="1" applyBorder="1" applyAlignment="1" applyProtection="1">
      <alignment horizontal="left" vertical="center"/>
      <protection hidden="1"/>
    </xf>
    <xf numFmtId="2" fontId="5" fillId="0" borderId="15" xfId="1" applyNumberFormat="1" applyFont="1" applyFill="1" applyBorder="1" applyAlignment="1" applyProtection="1">
      <alignment horizontal="right" vertical="center"/>
      <protection hidden="1"/>
    </xf>
    <xf numFmtId="0" fontId="5" fillId="3" borderId="0" xfId="1" applyFont="1" applyFill="1" applyBorder="1" applyProtection="1">
      <protection hidden="1"/>
    </xf>
    <xf numFmtId="0" fontId="0" fillId="3" borderId="0" xfId="0" applyFill="1" applyProtection="1">
      <protection locked="0"/>
    </xf>
    <xf numFmtId="0" fontId="0" fillId="3" borderId="0" xfId="0" applyFill="1"/>
    <xf numFmtId="49" fontId="0" fillId="3" borderId="0" xfId="0" applyNumberFormat="1" applyFill="1"/>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20" fillId="0" borderId="3" xfId="0" applyFont="1" applyFill="1" applyBorder="1" applyAlignment="1">
      <alignment vertical="center" wrapText="1"/>
    </xf>
    <xf numFmtId="0" fontId="20" fillId="0" borderId="4" xfId="0" applyFont="1" applyFill="1" applyBorder="1" applyAlignment="1">
      <alignment vertical="center" wrapText="1"/>
    </xf>
    <xf numFmtId="0" fontId="20" fillId="0" borderId="16" xfId="0" applyFont="1" applyFill="1" applyBorder="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7" xfId="0" applyFont="1" applyFill="1" applyBorder="1" applyAlignment="1">
      <alignment vertical="center" wrapText="1"/>
    </xf>
    <xf numFmtId="0" fontId="20" fillId="0" borderId="3" xfId="0" applyFont="1" applyFill="1" applyBorder="1" applyAlignment="1">
      <alignment vertical="center"/>
    </xf>
    <xf numFmtId="0" fontId="20" fillId="0" borderId="16" xfId="0" applyFont="1" applyFill="1" applyBorder="1" applyAlignment="1">
      <alignment vertical="center"/>
    </xf>
    <xf numFmtId="0" fontId="20" fillId="0" borderId="5" xfId="0" applyFont="1" applyFill="1" applyBorder="1" applyAlignment="1">
      <alignment vertical="center"/>
    </xf>
    <xf numFmtId="0" fontId="20" fillId="0" borderId="7" xfId="0" applyFont="1" applyFill="1" applyBorder="1" applyAlignment="1">
      <alignment vertical="center"/>
    </xf>
    <xf numFmtId="0" fontId="0" fillId="3" borderId="0" xfId="0" applyFill="1" applyAlignment="1">
      <alignment wrapText="1"/>
    </xf>
    <xf numFmtId="0" fontId="5" fillId="4" borderId="0" xfId="1" applyFont="1" applyFill="1" applyBorder="1" applyAlignment="1" applyProtection="1">
      <alignment vertical="center"/>
      <protection hidden="1"/>
    </xf>
    <xf numFmtId="0" fontId="5" fillId="4" borderId="1" xfId="1" applyFont="1" applyFill="1" applyBorder="1" applyAlignment="1" applyProtection="1">
      <alignment vertical="center"/>
      <protection hidden="1"/>
    </xf>
    <xf numFmtId="0" fontId="5" fillId="4" borderId="2" xfId="1" applyFont="1" applyFill="1" applyBorder="1" applyAlignment="1" applyProtection="1">
      <alignment vertical="center"/>
      <protection hidden="1"/>
    </xf>
    <xf numFmtId="0" fontId="5" fillId="4" borderId="3" xfId="1" applyFont="1" applyFill="1" applyBorder="1" applyAlignment="1" applyProtection="1">
      <alignment vertical="center"/>
      <protection hidden="1"/>
    </xf>
    <xf numFmtId="0" fontId="5" fillId="4" borderId="4" xfId="1" applyFont="1" applyFill="1" applyBorder="1" applyAlignment="1" applyProtection="1">
      <alignment vertical="center"/>
      <protection hidden="1"/>
    </xf>
    <xf numFmtId="0" fontId="5" fillId="4" borderId="16" xfId="1" applyFont="1" applyFill="1" applyBorder="1" applyAlignment="1" applyProtection="1">
      <alignment vertical="center"/>
      <protection hidden="1"/>
    </xf>
    <xf numFmtId="0" fontId="5" fillId="4" borderId="6" xfId="1" applyFont="1" applyFill="1" applyBorder="1" applyAlignment="1" applyProtection="1">
      <alignment vertical="center"/>
      <protection hidden="1"/>
    </xf>
    <xf numFmtId="2" fontId="6" fillId="3" borderId="0" xfId="1" applyNumberFormat="1" applyFont="1" applyFill="1" applyProtection="1">
      <protection hidden="1"/>
    </xf>
    <xf numFmtId="2" fontId="6" fillId="3" borderId="0" xfId="1" applyNumberFormat="1" applyFont="1" applyFill="1" applyBorder="1" applyAlignment="1" applyProtection="1">
      <alignment horizontal="left"/>
      <protection hidden="1"/>
    </xf>
    <xf numFmtId="1" fontId="5" fillId="3" borderId="0" xfId="1" applyNumberFormat="1" applyFont="1" applyFill="1" applyProtection="1">
      <protection hidden="1"/>
    </xf>
    <xf numFmtId="0" fontId="4" fillId="0" borderId="0" xfId="1" applyFont="1" applyBorder="1" applyAlignment="1" applyProtection="1">
      <alignment vertical="center"/>
      <protection hidden="1"/>
    </xf>
    <xf numFmtId="0" fontId="5" fillId="0" borderId="17" xfId="1" applyFont="1" applyFill="1" applyBorder="1" applyAlignment="1" applyProtection="1">
      <alignment vertical="center"/>
      <protection hidden="1"/>
    </xf>
    <xf numFmtId="2" fontId="5" fillId="0" borderId="19" xfId="1" applyNumberFormat="1" applyFont="1" applyFill="1" applyBorder="1" applyAlignment="1" applyProtection="1">
      <alignment vertical="center"/>
      <protection hidden="1"/>
    </xf>
    <xf numFmtId="0" fontId="5" fillId="3" borderId="7" xfId="1" applyFont="1" applyFill="1" applyBorder="1" applyProtection="1">
      <protection hidden="1"/>
    </xf>
    <xf numFmtId="2" fontId="5" fillId="3" borderId="0" xfId="1" applyNumberFormat="1" applyFont="1" applyFill="1" applyBorder="1" applyAlignment="1" applyProtection="1">
      <protection hidden="1"/>
    </xf>
    <xf numFmtId="2" fontId="6" fillId="3" borderId="0" xfId="1" applyNumberFormat="1" applyFont="1" applyFill="1" applyBorder="1" applyAlignment="1" applyProtection="1">
      <protection hidden="1"/>
    </xf>
    <xf numFmtId="0" fontId="5" fillId="3" borderId="0" xfId="1" applyFont="1" applyFill="1" applyAlignment="1" applyProtection="1">
      <protection hidden="1"/>
    </xf>
    <xf numFmtId="2" fontId="5" fillId="3" borderId="0" xfId="1" applyNumberFormat="1" applyFont="1" applyFill="1" applyAlignment="1" applyProtection="1">
      <protection hidden="1"/>
    </xf>
    <xf numFmtId="2" fontId="6" fillId="3" borderId="0" xfId="1" applyNumberFormat="1" applyFont="1" applyFill="1" applyAlignment="1" applyProtection="1">
      <protection hidden="1"/>
    </xf>
    <xf numFmtId="164" fontId="5" fillId="3" borderId="0" xfId="1" applyNumberFormat="1" applyFont="1" applyFill="1" applyAlignment="1" applyProtection="1">
      <protection hidden="1"/>
    </xf>
    <xf numFmtId="0" fontId="6" fillId="3" borderId="0" xfId="1" applyFont="1" applyFill="1" applyAlignment="1" applyProtection="1">
      <protection hidden="1"/>
    </xf>
    <xf numFmtId="0" fontId="5" fillId="3" borderId="4" xfId="1" applyFont="1" applyFill="1" applyBorder="1" applyAlignment="1" applyProtection="1">
      <protection hidden="1"/>
    </xf>
    <xf numFmtId="0" fontId="5" fillId="3" borderId="0" xfId="1" applyFont="1" applyFill="1" applyBorder="1" applyAlignment="1" applyProtection="1">
      <protection hidden="1"/>
    </xf>
    <xf numFmtId="0" fontId="5" fillId="3" borderId="16" xfId="1" applyFont="1" applyFill="1" applyBorder="1" applyAlignment="1" applyProtection="1">
      <protection hidden="1"/>
    </xf>
    <xf numFmtId="0" fontId="5" fillId="3" borderId="1" xfId="1" applyFont="1" applyFill="1" applyBorder="1" applyAlignment="1" applyProtection="1">
      <protection hidden="1"/>
    </xf>
    <xf numFmtId="0" fontId="5" fillId="3" borderId="3" xfId="1" applyFont="1" applyFill="1" applyBorder="1" applyAlignment="1" applyProtection="1">
      <protection hidden="1"/>
    </xf>
    <xf numFmtId="0" fontId="5" fillId="3" borderId="5" xfId="1" applyFont="1" applyFill="1" applyBorder="1" applyAlignment="1" applyProtection="1">
      <protection hidden="1"/>
    </xf>
    <xf numFmtId="0" fontId="5" fillId="3" borderId="7" xfId="1" applyFont="1" applyFill="1" applyBorder="1" applyAlignment="1" applyProtection="1">
      <protection hidden="1"/>
    </xf>
    <xf numFmtId="1" fontId="5" fillId="3" borderId="0" xfId="1" applyNumberFormat="1" applyFont="1" applyFill="1" applyAlignment="1" applyProtection="1">
      <protection hidden="1"/>
    </xf>
    <xf numFmtId="164" fontId="6" fillId="3" borderId="0" xfId="1" applyNumberFormat="1" applyFont="1" applyFill="1" applyAlignment="1" applyProtection="1">
      <protection hidden="1"/>
    </xf>
    <xf numFmtId="1" fontId="5" fillId="3" borderId="0" xfId="1" applyNumberFormat="1" applyFont="1" applyFill="1" applyBorder="1" applyAlignment="1" applyProtection="1">
      <protection hidden="1"/>
    </xf>
    <xf numFmtId="1" fontId="6" fillId="3" borderId="1" xfId="1" applyNumberFormat="1" applyFont="1" applyFill="1" applyBorder="1" applyAlignment="1" applyProtection="1">
      <alignment horizontal="center"/>
      <protection hidden="1"/>
    </xf>
    <xf numFmtId="1" fontId="6" fillId="3" borderId="2" xfId="1" applyNumberFormat="1" applyFont="1" applyFill="1" applyBorder="1" applyAlignment="1" applyProtection="1">
      <alignment horizontal="center"/>
      <protection hidden="1"/>
    </xf>
    <xf numFmtId="1" fontId="6" fillId="3" borderId="3" xfId="1" quotePrefix="1" applyNumberFormat="1" applyFont="1" applyFill="1" applyBorder="1" applyAlignment="1" applyProtection="1">
      <alignment horizontal="center"/>
      <protection hidden="1"/>
    </xf>
    <xf numFmtId="0" fontId="5" fillId="3" borderId="4" xfId="1" applyFont="1" applyFill="1" applyBorder="1" applyAlignment="1" applyProtection="1">
      <alignment horizontal="center"/>
      <protection hidden="1"/>
    </xf>
    <xf numFmtId="0" fontId="5" fillId="3" borderId="0" xfId="1" applyFont="1" applyFill="1" applyBorder="1" applyAlignment="1" applyProtection="1">
      <alignment horizontal="center"/>
      <protection hidden="1"/>
    </xf>
    <xf numFmtId="0" fontId="5" fillId="3" borderId="16" xfId="1" applyFont="1" applyFill="1" applyBorder="1" applyAlignment="1" applyProtection="1">
      <alignment horizontal="center"/>
      <protection hidden="1"/>
    </xf>
    <xf numFmtId="2" fontId="5" fillId="3" borderId="5" xfId="1" quotePrefix="1" applyNumberFormat="1" applyFont="1" applyFill="1" applyBorder="1" applyAlignment="1" applyProtection="1">
      <alignment horizontal="center"/>
      <protection hidden="1"/>
    </xf>
    <xf numFmtId="2" fontId="5" fillId="3" borderId="6" xfId="1" quotePrefix="1" applyNumberFormat="1" applyFont="1" applyFill="1" applyBorder="1" applyAlignment="1" applyProtection="1">
      <alignment horizontal="center"/>
      <protection hidden="1"/>
    </xf>
    <xf numFmtId="2" fontId="5" fillId="3" borderId="7" xfId="1" quotePrefix="1" applyNumberFormat="1" applyFont="1" applyFill="1" applyBorder="1" applyAlignment="1" applyProtection="1">
      <alignment horizontal="center"/>
      <protection hidden="1"/>
    </xf>
    <xf numFmtId="0" fontId="5" fillId="3" borderId="1" xfId="1" applyFont="1" applyFill="1" applyBorder="1" applyAlignment="1" applyProtection="1">
      <alignment horizontal="center"/>
      <protection hidden="1"/>
    </xf>
    <xf numFmtId="0" fontId="5" fillId="3" borderId="3" xfId="1" applyFont="1" applyFill="1" applyBorder="1" applyAlignment="1" applyProtection="1">
      <alignment horizontal="center"/>
      <protection hidden="1"/>
    </xf>
    <xf numFmtId="0" fontId="5" fillId="3" borderId="5" xfId="1" applyFont="1" applyFill="1" applyBorder="1" applyAlignment="1" applyProtection="1">
      <alignment horizontal="center"/>
      <protection hidden="1"/>
    </xf>
    <xf numFmtId="0" fontId="5" fillId="3" borderId="7" xfId="1" applyFont="1" applyFill="1" applyBorder="1" applyAlignment="1" applyProtection="1">
      <alignment horizontal="center"/>
      <protection hidden="1"/>
    </xf>
    <xf numFmtId="2" fontId="5" fillId="3" borderId="5" xfId="1" applyNumberFormat="1" applyFont="1" applyFill="1" applyBorder="1" applyProtection="1">
      <protection hidden="1"/>
    </xf>
    <xf numFmtId="2" fontId="5" fillId="3" borderId="7" xfId="1" applyNumberFormat="1" applyFont="1" applyFill="1" applyBorder="1" applyProtection="1">
      <protection hidden="1"/>
    </xf>
    <xf numFmtId="2" fontId="5" fillId="3" borderId="10" xfId="1" applyNumberFormat="1" applyFont="1" applyFill="1" applyBorder="1" applyProtection="1">
      <protection hidden="1"/>
    </xf>
    <xf numFmtId="0" fontId="5" fillId="3" borderId="2" xfId="1" applyFont="1" applyFill="1" applyBorder="1" applyAlignment="1" applyProtection="1">
      <protection hidden="1"/>
    </xf>
    <xf numFmtId="0" fontId="5" fillId="3" borderId="6" xfId="1" applyFont="1" applyFill="1" applyBorder="1" applyAlignment="1" applyProtection="1">
      <protection hidden="1"/>
    </xf>
    <xf numFmtId="0" fontId="5" fillId="3" borderId="6" xfId="1" applyFont="1" applyFill="1" applyBorder="1" applyProtection="1">
      <protection hidden="1"/>
    </xf>
    <xf numFmtId="0" fontId="5" fillId="3" borderId="10" xfId="1" applyFont="1" applyFill="1" applyBorder="1" applyAlignment="1" applyProtection="1">
      <protection hidden="1"/>
    </xf>
    <xf numFmtId="0" fontId="5" fillId="3" borderId="5" xfId="1" applyNumberFormat="1" applyFont="1" applyFill="1" applyBorder="1" applyProtection="1">
      <protection hidden="1"/>
    </xf>
    <xf numFmtId="0" fontId="5" fillId="3" borderId="6" xfId="1" applyNumberFormat="1" applyFont="1" applyFill="1" applyBorder="1" applyProtection="1">
      <protection hidden="1"/>
    </xf>
    <xf numFmtId="0" fontId="5" fillId="3" borderId="7" xfId="1" applyNumberFormat="1" applyFont="1" applyFill="1" applyBorder="1" applyProtection="1">
      <protection hidden="1"/>
    </xf>
    <xf numFmtId="0" fontId="5" fillId="3" borderId="1" xfId="1" applyNumberFormat="1" applyFont="1" applyFill="1" applyBorder="1" applyProtection="1">
      <protection hidden="1"/>
    </xf>
    <xf numFmtId="0" fontId="5" fillId="3" borderId="2" xfId="1" applyNumberFormat="1" applyFont="1" applyFill="1" applyBorder="1" applyProtection="1">
      <protection hidden="1"/>
    </xf>
    <xf numFmtId="0" fontId="5" fillId="3" borderId="3" xfId="1" applyNumberFormat="1" applyFont="1" applyFill="1" applyBorder="1" applyProtection="1">
      <protection hidden="1"/>
    </xf>
    <xf numFmtId="0" fontId="5" fillId="3" borderId="0" xfId="1" applyNumberFormat="1" applyFont="1" applyFill="1" applyProtection="1">
      <protection hidden="1"/>
    </xf>
    <xf numFmtId="0" fontId="5" fillId="3" borderId="0" xfId="1" applyNumberFormat="1" applyFont="1" applyFill="1" applyAlignment="1" applyProtection="1">
      <protection hidden="1"/>
    </xf>
    <xf numFmtId="0" fontId="5" fillId="3" borderId="8" xfId="1" applyNumberFormat="1" applyFont="1" applyFill="1" applyBorder="1" applyProtection="1">
      <protection hidden="1"/>
    </xf>
    <xf numFmtId="0" fontId="5" fillId="3" borderId="9" xfId="1" applyNumberFormat="1" applyFont="1" applyFill="1" applyBorder="1" applyProtection="1">
      <protection hidden="1"/>
    </xf>
    <xf numFmtId="0" fontId="5" fillId="3" borderId="10" xfId="1" applyNumberFormat="1" applyFont="1" applyFill="1" applyBorder="1" applyProtection="1">
      <protection hidden="1"/>
    </xf>
    <xf numFmtId="0" fontId="5" fillId="3" borderId="1" xfId="1" applyNumberFormat="1" applyFont="1" applyFill="1" applyBorder="1" applyAlignment="1" applyProtection="1">
      <alignment horizontal="left"/>
      <protection hidden="1"/>
    </xf>
    <xf numFmtId="0" fontId="5" fillId="3" borderId="2" xfId="1" applyNumberFormat="1" applyFont="1" applyFill="1" applyBorder="1" applyAlignment="1" applyProtection="1">
      <alignment horizontal="left"/>
      <protection hidden="1"/>
    </xf>
    <xf numFmtId="0" fontId="5" fillId="3" borderId="3" xfId="1" applyNumberFormat="1" applyFont="1" applyFill="1" applyBorder="1" applyAlignment="1" applyProtection="1">
      <alignment horizontal="left"/>
      <protection hidden="1"/>
    </xf>
    <xf numFmtId="0" fontId="5" fillId="3" borderId="4" xfId="1" applyNumberFormat="1" applyFont="1" applyFill="1" applyBorder="1" applyAlignment="1" applyProtection="1">
      <alignment horizontal="left"/>
      <protection hidden="1"/>
    </xf>
    <xf numFmtId="0" fontId="5" fillId="3" borderId="0" xfId="1" applyNumberFormat="1" applyFont="1" applyFill="1" applyBorder="1" applyAlignment="1" applyProtection="1">
      <alignment horizontal="left"/>
      <protection hidden="1"/>
    </xf>
    <xf numFmtId="0" fontId="5" fillId="3" borderId="16" xfId="1" applyNumberFormat="1" applyFont="1" applyFill="1" applyBorder="1" applyAlignment="1" applyProtection="1">
      <alignment horizontal="left"/>
      <protection hidden="1"/>
    </xf>
    <xf numFmtId="0" fontId="5" fillId="3" borderId="5" xfId="1" applyNumberFormat="1" applyFont="1" applyFill="1" applyBorder="1" applyAlignment="1" applyProtection="1">
      <alignment horizontal="left"/>
      <protection hidden="1"/>
    </xf>
    <xf numFmtId="0" fontId="5" fillId="3" borderId="6" xfId="1" applyNumberFormat="1" applyFont="1" applyFill="1" applyBorder="1" applyAlignment="1" applyProtection="1">
      <alignment horizontal="left"/>
      <protection hidden="1"/>
    </xf>
    <xf numFmtId="0" fontId="5" fillId="3" borderId="7" xfId="1" applyNumberFormat="1" applyFont="1" applyFill="1" applyBorder="1" applyAlignment="1" applyProtection="1">
      <alignment horizontal="left"/>
      <protection hidden="1"/>
    </xf>
    <xf numFmtId="2" fontId="5" fillId="3" borderId="3" xfId="1" applyNumberFormat="1" applyFont="1" applyFill="1" applyBorder="1" applyAlignment="1" applyProtection="1">
      <protection hidden="1"/>
    </xf>
    <xf numFmtId="2" fontId="5" fillId="3" borderId="16" xfId="1" applyNumberFormat="1" applyFont="1" applyFill="1" applyBorder="1" applyAlignment="1" applyProtection="1">
      <protection hidden="1"/>
    </xf>
    <xf numFmtId="2" fontId="5" fillId="3" borderId="7" xfId="1" applyNumberFormat="1" applyFont="1" applyFill="1" applyBorder="1" applyAlignment="1" applyProtection="1">
      <protection hidden="1"/>
    </xf>
    <xf numFmtId="0" fontId="5" fillId="3" borderId="8" xfId="1" applyFont="1" applyFill="1" applyBorder="1" applyAlignment="1" applyProtection="1">
      <protection hidden="1"/>
    </xf>
    <xf numFmtId="0" fontId="5" fillId="3" borderId="9" xfId="1" applyFont="1" applyFill="1" applyBorder="1" applyAlignment="1" applyProtection="1">
      <protection hidden="1"/>
    </xf>
    <xf numFmtId="2" fontId="5" fillId="3" borderId="4" xfId="1" applyNumberFormat="1" applyFont="1" applyFill="1" applyBorder="1" applyAlignment="1" applyProtection="1">
      <alignment horizontal="left"/>
      <protection hidden="1"/>
    </xf>
    <xf numFmtId="2" fontId="5" fillId="3" borderId="16" xfId="1" applyNumberFormat="1" applyFont="1" applyFill="1" applyBorder="1" applyAlignment="1" applyProtection="1">
      <alignment horizontal="left"/>
      <protection hidden="1"/>
    </xf>
    <xf numFmtId="2" fontId="5" fillId="3" borderId="5" xfId="1" applyNumberFormat="1" applyFont="1" applyFill="1" applyBorder="1" applyAlignment="1" applyProtection="1">
      <alignment horizontal="left"/>
      <protection hidden="1"/>
    </xf>
    <xf numFmtId="2" fontId="5" fillId="3" borderId="6" xfId="1" applyNumberFormat="1" applyFont="1" applyFill="1" applyBorder="1" applyAlignment="1" applyProtection="1">
      <alignment horizontal="left"/>
      <protection hidden="1"/>
    </xf>
    <xf numFmtId="2" fontId="5" fillId="3" borderId="7" xfId="1" applyNumberFormat="1" applyFont="1" applyFill="1" applyBorder="1" applyAlignment="1" applyProtection="1">
      <alignment horizontal="left"/>
      <protection hidden="1"/>
    </xf>
    <xf numFmtId="0" fontId="4" fillId="4" borderId="5" xfId="1" applyFont="1" applyFill="1" applyBorder="1" applyAlignment="1" applyProtection="1">
      <alignment vertical="center"/>
      <protection hidden="1"/>
    </xf>
    <xf numFmtId="11" fontId="5" fillId="3" borderId="0" xfId="1" applyNumberFormat="1" applyFont="1" applyFill="1" applyBorder="1" applyAlignment="1" applyProtection="1">
      <alignment horizontal="left"/>
      <protection hidden="1"/>
    </xf>
    <xf numFmtId="2" fontId="6" fillId="3" borderId="4" xfId="1" applyNumberFormat="1" applyFont="1" applyFill="1" applyBorder="1" applyAlignment="1" applyProtection="1">
      <alignment horizontal="left"/>
      <protection hidden="1"/>
    </xf>
    <xf numFmtId="2" fontId="6" fillId="3" borderId="16" xfId="1" applyNumberFormat="1" applyFont="1" applyFill="1" applyBorder="1" applyAlignment="1" applyProtection="1">
      <alignment horizontal="left"/>
      <protection hidden="1"/>
    </xf>
    <xf numFmtId="0" fontId="6" fillId="3" borderId="0" xfId="1" applyFont="1" applyFill="1" applyProtection="1">
      <protection hidden="1"/>
    </xf>
    <xf numFmtId="2" fontId="6" fillId="3" borderId="6" xfId="1" applyNumberFormat="1" applyFont="1" applyFill="1" applyBorder="1" applyAlignment="1" applyProtection="1">
      <alignment horizontal="left"/>
      <protection hidden="1"/>
    </xf>
    <xf numFmtId="2" fontId="5" fillId="3" borderId="4" xfId="1" applyNumberFormat="1" applyFont="1" applyFill="1" applyBorder="1" applyProtection="1">
      <protection hidden="1"/>
    </xf>
    <xf numFmtId="0" fontId="5" fillId="3" borderId="16" xfId="1" applyFont="1" applyFill="1" applyBorder="1" applyProtection="1">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horizontal="right" vertical="center"/>
      <protection hidden="1"/>
    </xf>
    <xf numFmtId="2" fontId="0" fillId="0" borderId="0" xfId="0" applyNumberFormat="1" applyAlignment="1" applyProtection="1">
      <alignment vertical="center"/>
      <protection hidden="1"/>
    </xf>
    <xf numFmtId="0" fontId="0" fillId="0" borderId="0" xfId="0" applyFill="1" applyBorder="1" applyAlignment="1" applyProtection="1">
      <alignment vertical="center"/>
      <protection hidden="1"/>
    </xf>
    <xf numFmtId="0" fontId="0" fillId="2" borderId="0" xfId="0" applyFill="1" applyAlignment="1" applyProtection="1">
      <alignment vertical="center"/>
      <protection hidden="1"/>
    </xf>
    <xf numFmtId="0" fontId="5" fillId="2" borderId="0" xfId="0" applyFont="1" applyFill="1" applyAlignment="1" applyProtection="1">
      <alignment vertical="center"/>
      <protection hidden="1"/>
    </xf>
    <xf numFmtId="0" fontId="2" fillId="0" borderId="0" xfId="0" applyFont="1" applyAlignment="1" applyProtection="1">
      <alignment vertical="center"/>
      <protection hidden="1"/>
    </xf>
    <xf numFmtId="0" fontId="0" fillId="0" borderId="11" xfId="0" applyBorder="1" applyAlignment="1" applyProtection="1">
      <alignment horizontal="center" vertical="center"/>
      <protection hidden="1"/>
    </xf>
    <xf numFmtId="2" fontId="0" fillId="0" borderId="11"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1" xfId="0" applyBorder="1" applyAlignment="1" applyProtection="1">
      <alignment vertical="center"/>
      <protection hidden="1"/>
    </xf>
    <xf numFmtId="164" fontId="0" fillId="0" borderId="11" xfId="0" applyNumberFormat="1" applyBorder="1" applyAlignment="1" applyProtection="1">
      <alignment vertical="center"/>
      <protection hidden="1"/>
    </xf>
    <xf numFmtId="2" fontId="0" fillId="0" borderId="0" xfId="0" applyNumberFormat="1" applyBorder="1" applyAlignment="1" applyProtection="1">
      <alignment horizontal="center" vertical="center"/>
      <protection hidden="1"/>
    </xf>
    <xf numFmtId="1" fontId="0" fillId="0" borderId="0" xfId="0" applyNumberFormat="1" applyAlignment="1" applyProtection="1">
      <alignment vertical="center"/>
      <protection hidden="1"/>
    </xf>
    <xf numFmtId="0" fontId="0" fillId="0" borderId="0" xfId="0" applyFill="1" applyBorder="1" applyAlignment="1" applyProtection="1">
      <alignment horizontal="center" vertical="center"/>
      <protection hidden="1"/>
    </xf>
    <xf numFmtId="164" fontId="0" fillId="0" borderId="0" xfId="0" applyNumberFormat="1" applyAlignment="1" applyProtection="1">
      <alignment vertical="center"/>
      <protection hidden="1"/>
    </xf>
    <xf numFmtId="0" fontId="0" fillId="0" borderId="0" xfId="0" applyProtection="1">
      <protection hidden="1"/>
    </xf>
    <xf numFmtId="9" fontId="0" fillId="0" borderId="0" xfId="0" applyNumberFormat="1" applyProtection="1">
      <protection hidden="1"/>
    </xf>
    <xf numFmtId="0" fontId="0" fillId="0" borderId="0" xfId="0" applyAlignment="1" applyProtection="1">
      <alignment horizontal="center" vertical="center"/>
      <protection hidden="1"/>
    </xf>
    <xf numFmtId="0" fontId="0" fillId="0" borderId="0" xfId="0" applyFill="1" applyAlignment="1" applyProtection="1">
      <alignment vertical="center"/>
      <protection hidden="1"/>
    </xf>
    <xf numFmtId="0" fontId="3" fillId="0" borderId="1" xfId="0" applyFont="1" applyFill="1" applyBorder="1" applyAlignment="1" applyProtection="1">
      <alignment vertical="center"/>
      <protection hidden="1"/>
    </xf>
    <xf numFmtId="0" fontId="7" fillId="0" borderId="2" xfId="0" applyFont="1" applyFill="1" applyBorder="1" applyAlignment="1" applyProtection="1">
      <alignment vertical="center" wrapText="1"/>
      <protection hidden="1"/>
    </xf>
    <xf numFmtId="0" fontId="3" fillId="0" borderId="4"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0" fillId="5" borderId="0" xfId="0" applyFill="1" applyAlignment="1" applyProtection="1">
      <alignment vertical="center"/>
      <protection hidden="1"/>
    </xf>
    <xf numFmtId="0" fontId="4" fillId="4" borderId="7" xfId="1" applyFont="1" applyFill="1" applyBorder="1" applyAlignment="1" applyProtection="1">
      <alignment horizontal="right" vertical="top" indent="1"/>
    </xf>
    <xf numFmtId="2" fontId="0" fillId="2" borderId="0" xfId="0" applyNumberFormat="1" applyFill="1" applyAlignment="1" applyProtection="1">
      <alignment vertical="center"/>
      <protection hidden="1"/>
    </xf>
    <xf numFmtId="1" fontId="5" fillId="5" borderId="1" xfId="1" applyNumberFormat="1" applyFont="1" applyFill="1" applyBorder="1" applyAlignment="1" applyProtection="1">
      <protection hidden="1"/>
    </xf>
    <xf numFmtId="0" fontId="5" fillId="5" borderId="2" xfId="0" applyFont="1" applyFill="1" applyBorder="1" applyAlignment="1" applyProtection="1">
      <alignment vertical="center"/>
      <protection hidden="1"/>
    </xf>
    <xf numFmtId="0" fontId="5" fillId="5" borderId="4" xfId="0" applyFont="1" applyFill="1" applyBorder="1" applyAlignment="1" applyProtection="1">
      <alignment vertical="center"/>
      <protection hidden="1"/>
    </xf>
    <xf numFmtId="0" fontId="5" fillId="5" borderId="0" xfId="0" applyFont="1" applyFill="1" applyBorder="1" applyAlignment="1" applyProtection="1">
      <alignment vertical="center"/>
      <protection hidden="1"/>
    </xf>
    <xf numFmtId="0" fontId="5" fillId="5" borderId="5" xfId="0" applyFont="1" applyFill="1" applyBorder="1" applyAlignment="1" applyProtection="1">
      <alignment vertical="center"/>
      <protection hidden="1"/>
    </xf>
    <xf numFmtId="0" fontId="5" fillId="5" borderId="6" xfId="0" applyFont="1" applyFill="1" applyBorder="1" applyAlignment="1" applyProtection="1">
      <alignment vertical="center"/>
      <protection hidden="1"/>
    </xf>
    <xf numFmtId="2" fontId="5" fillId="3" borderId="8" xfId="1" applyNumberFormat="1" applyFont="1" applyFill="1" applyBorder="1" applyAlignment="1" applyProtection="1">
      <protection hidden="1"/>
    </xf>
    <xf numFmtId="2" fontId="5" fillId="3" borderId="10" xfId="1" applyNumberFormat="1" applyFont="1" applyFill="1" applyBorder="1" applyAlignment="1" applyProtection="1">
      <protection hidden="1"/>
    </xf>
    <xf numFmtId="0" fontId="6" fillId="4" borderId="8" xfId="1" applyFont="1" applyFill="1" applyBorder="1" applyAlignment="1" applyProtection="1">
      <alignment horizontal="center" vertical="center"/>
    </xf>
    <xf numFmtId="0" fontId="6" fillId="4" borderId="9" xfId="1" applyFont="1" applyFill="1" applyBorder="1" applyAlignment="1" applyProtection="1">
      <alignment horizontal="center" vertical="center"/>
    </xf>
    <xf numFmtId="0" fontId="6" fillId="4" borderId="10" xfId="1" applyFont="1" applyFill="1" applyBorder="1" applyAlignment="1" applyProtection="1">
      <alignment horizontal="center" vertical="center"/>
    </xf>
    <xf numFmtId="0" fontId="15" fillId="4" borderId="1" xfId="1" applyFont="1" applyFill="1" applyBorder="1" applyAlignment="1" applyProtection="1">
      <alignment horizontal="left" vertical="center" indent="1"/>
      <protection locked="0"/>
    </xf>
    <xf numFmtId="0" fontId="15" fillId="4" borderId="2" xfId="1" applyFont="1" applyFill="1" applyBorder="1" applyAlignment="1" applyProtection="1">
      <alignment horizontal="left" vertical="center" indent="1"/>
      <protection locked="0"/>
    </xf>
    <xf numFmtId="0" fontId="15" fillId="4" borderId="3" xfId="1" applyFont="1" applyFill="1" applyBorder="1" applyAlignment="1" applyProtection="1">
      <alignment horizontal="left" vertical="center" indent="1"/>
      <protection locked="0"/>
    </xf>
    <xf numFmtId="0" fontId="15" fillId="4" borderId="5" xfId="1" applyFont="1" applyFill="1" applyBorder="1" applyAlignment="1" applyProtection="1">
      <alignment horizontal="left" vertical="center" indent="1"/>
      <protection locked="0"/>
    </xf>
    <xf numFmtId="0" fontId="15" fillId="4" borderId="6" xfId="1" applyFont="1" applyFill="1" applyBorder="1" applyAlignment="1" applyProtection="1">
      <alignment horizontal="left" vertical="center" indent="1"/>
      <protection locked="0"/>
    </xf>
    <xf numFmtId="0" fontId="15" fillId="4" borderId="7" xfId="1" applyFont="1" applyFill="1" applyBorder="1" applyAlignment="1" applyProtection="1">
      <alignment horizontal="left" vertical="center" indent="1"/>
      <protection locked="0"/>
    </xf>
    <xf numFmtId="0" fontId="2" fillId="4" borderId="5" xfId="0" applyFont="1" applyFill="1" applyBorder="1" applyAlignment="1" applyProtection="1">
      <alignment horizontal="right" vertical="center"/>
      <protection hidden="1"/>
    </xf>
    <xf numFmtId="0" fontId="2" fillId="4" borderId="6" xfId="0" applyFont="1" applyFill="1" applyBorder="1" applyAlignment="1" applyProtection="1">
      <alignment horizontal="right" vertical="center"/>
      <protection hidden="1"/>
    </xf>
    <xf numFmtId="0" fontId="6" fillId="4" borderId="2" xfId="1" applyFont="1" applyFill="1" applyBorder="1" applyAlignment="1" applyProtection="1">
      <alignment horizontal="left" vertical="center" indent="1"/>
      <protection hidden="1"/>
    </xf>
    <xf numFmtId="0" fontId="6" fillId="4" borderId="3" xfId="1" applyFont="1" applyFill="1" applyBorder="1" applyAlignment="1" applyProtection="1">
      <alignment horizontal="left" vertical="center" indent="1"/>
      <protection hidden="1"/>
    </xf>
    <xf numFmtId="0" fontId="6" fillId="4" borderId="0" xfId="1" applyFont="1" applyFill="1" applyBorder="1" applyAlignment="1" applyProtection="1">
      <alignment horizontal="left" vertical="center" indent="1"/>
      <protection hidden="1"/>
    </xf>
    <xf numFmtId="0" fontId="6" fillId="4" borderId="16" xfId="1" applyFont="1" applyFill="1" applyBorder="1" applyAlignment="1" applyProtection="1">
      <alignment horizontal="left" vertical="center" indent="1"/>
      <protection hidden="1"/>
    </xf>
    <xf numFmtId="0" fontId="6" fillId="4" borderId="6" xfId="1" applyFont="1" applyFill="1" applyBorder="1" applyAlignment="1" applyProtection="1">
      <alignment horizontal="left" vertical="center" indent="1"/>
      <protection hidden="1"/>
    </xf>
    <xf numFmtId="0" fontId="6" fillId="4" borderId="7" xfId="1" applyFont="1" applyFill="1" applyBorder="1" applyAlignment="1" applyProtection="1">
      <alignment horizontal="left" vertical="center" indent="1"/>
      <protection hidden="1"/>
    </xf>
    <xf numFmtId="0" fontId="5" fillId="4" borderId="6" xfId="1" applyFont="1" applyFill="1" applyBorder="1" applyAlignment="1" applyProtection="1">
      <alignment horizontal="right" vertical="center"/>
      <protection hidden="1"/>
    </xf>
    <xf numFmtId="0" fontId="5" fillId="4" borderId="0" xfId="1" applyFont="1" applyFill="1" applyBorder="1" applyAlignment="1" applyProtection="1">
      <alignment horizontal="right" vertical="center"/>
      <protection hidden="1"/>
    </xf>
    <xf numFmtId="0" fontId="5" fillId="4" borderId="2" xfId="1" applyFont="1" applyFill="1" applyBorder="1" applyAlignment="1" applyProtection="1">
      <alignment horizontal="right" vertical="center"/>
      <protection hidden="1"/>
    </xf>
    <xf numFmtId="0" fontId="5" fillId="4" borderId="1" xfId="1" applyFont="1" applyFill="1" applyBorder="1" applyAlignment="1" applyProtection="1">
      <alignment horizontal="right" vertical="center"/>
    </xf>
    <xf numFmtId="0" fontId="5" fillId="4" borderId="2" xfId="1" applyFont="1" applyFill="1" applyBorder="1" applyAlignment="1" applyProtection="1">
      <alignment horizontal="right" vertical="center"/>
    </xf>
    <xf numFmtId="0" fontId="5" fillId="4" borderId="4" xfId="1" applyFont="1" applyFill="1" applyBorder="1" applyAlignment="1" applyProtection="1">
      <alignment horizontal="right" vertical="center"/>
    </xf>
    <xf numFmtId="0" fontId="5" fillId="4" borderId="0" xfId="1" applyFont="1" applyFill="1" applyBorder="1" applyAlignment="1" applyProtection="1">
      <alignment horizontal="right" vertical="center"/>
    </xf>
    <xf numFmtId="0" fontId="5" fillId="4" borderId="5" xfId="1" applyFont="1" applyFill="1" applyBorder="1" applyAlignment="1" applyProtection="1">
      <alignment horizontal="right" vertical="center"/>
    </xf>
    <xf numFmtId="0" fontId="5" fillId="4" borderId="6" xfId="1" applyFont="1" applyFill="1" applyBorder="1" applyAlignment="1" applyProtection="1">
      <alignment horizontal="right" vertical="center"/>
    </xf>
    <xf numFmtId="0" fontId="6" fillId="4" borderId="6" xfId="1" applyFont="1" applyFill="1" applyBorder="1" applyAlignment="1" applyProtection="1">
      <alignment horizontal="left" vertical="center"/>
      <protection hidden="1"/>
    </xf>
    <xf numFmtId="0" fontId="6" fillId="4" borderId="7" xfId="1" applyFont="1" applyFill="1" applyBorder="1" applyAlignment="1" applyProtection="1">
      <alignment horizontal="left" vertical="center"/>
      <protection hidden="1"/>
    </xf>
    <xf numFmtId="2" fontId="0" fillId="4" borderId="0" xfId="0" applyNumberFormat="1" applyFill="1" applyBorder="1" applyAlignment="1" applyProtection="1">
      <alignment horizontal="center" vertical="center"/>
      <protection hidden="1"/>
    </xf>
    <xf numFmtId="2" fontId="2" fillId="4" borderId="6" xfId="0" applyNumberFormat="1" applyFont="1" applyFill="1" applyBorder="1" applyAlignment="1" applyProtection="1">
      <alignment horizontal="center" vertical="center"/>
      <protection hidden="1"/>
    </xf>
    <xf numFmtId="0" fontId="0" fillId="4" borderId="4" xfId="0" applyFill="1" applyBorder="1" applyAlignment="1" applyProtection="1">
      <alignment horizontal="right" vertical="center"/>
      <protection hidden="1"/>
    </xf>
    <xf numFmtId="0" fontId="0" fillId="4" borderId="0" xfId="0" applyFill="1" applyBorder="1" applyAlignment="1" applyProtection="1">
      <alignment horizontal="right" vertical="center"/>
      <protection hidden="1"/>
    </xf>
    <xf numFmtId="0" fontId="5" fillId="4" borderId="0" xfId="1" applyFont="1" applyFill="1" applyBorder="1" applyAlignment="1" applyProtection="1">
      <alignment horizontal="left" vertical="center"/>
      <protection hidden="1"/>
    </xf>
    <xf numFmtId="0" fontId="5" fillId="4" borderId="16" xfId="1" applyFont="1" applyFill="1" applyBorder="1" applyAlignment="1" applyProtection="1">
      <alignment horizontal="left" vertical="center"/>
      <protection hidden="1"/>
    </xf>
    <xf numFmtId="0" fontId="0" fillId="4" borderId="2" xfId="0" applyFont="1" applyFill="1" applyBorder="1" applyAlignment="1" applyProtection="1">
      <alignment horizontal="center" vertical="center"/>
      <protection hidden="1"/>
    </xf>
    <xf numFmtId="0" fontId="0" fillId="4" borderId="4" xfId="0" applyFill="1" applyBorder="1" applyAlignment="1" applyProtection="1">
      <alignment horizontal="right" vertical="center"/>
    </xf>
    <xf numFmtId="0" fontId="0" fillId="4" borderId="0" xfId="0" applyFill="1" applyBorder="1" applyAlignment="1" applyProtection="1">
      <alignment horizontal="right" vertical="center"/>
    </xf>
    <xf numFmtId="0" fontId="0" fillId="4" borderId="32" xfId="0" applyFill="1" applyBorder="1" applyAlignment="1" applyProtection="1">
      <alignment horizontal="center" vertical="center"/>
      <protection hidden="1"/>
    </xf>
    <xf numFmtId="0" fontId="0" fillId="4" borderId="33" xfId="0" applyFill="1" applyBorder="1" applyAlignment="1" applyProtection="1">
      <alignment horizontal="center" vertical="center"/>
      <protection hidden="1"/>
    </xf>
    <xf numFmtId="0" fontId="0" fillId="4" borderId="34" xfId="0" applyFill="1" applyBorder="1" applyAlignment="1" applyProtection="1">
      <alignment horizontal="center" vertical="center"/>
      <protection hidden="1"/>
    </xf>
    <xf numFmtId="0" fontId="5" fillId="4" borderId="2" xfId="1" applyFont="1" applyFill="1" applyBorder="1" applyAlignment="1" applyProtection="1">
      <alignment horizontal="left" vertical="center"/>
      <protection hidden="1"/>
    </xf>
    <xf numFmtId="0" fontId="5" fillId="4" borderId="3" xfId="1" applyFont="1" applyFill="1" applyBorder="1" applyAlignment="1" applyProtection="1">
      <alignment horizontal="left" vertical="center"/>
      <protection hidden="1"/>
    </xf>
    <xf numFmtId="0" fontId="0" fillId="4" borderId="1" xfId="0" applyFill="1" applyBorder="1" applyAlignment="1" applyProtection="1">
      <alignment horizontal="right" vertical="center"/>
    </xf>
    <xf numFmtId="0" fontId="0" fillId="4" borderId="2" xfId="0" applyFill="1" applyBorder="1" applyAlignment="1" applyProtection="1">
      <alignment horizontal="right" vertical="center"/>
    </xf>
    <xf numFmtId="164" fontId="15" fillId="7" borderId="23" xfId="1" applyNumberFormat="1" applyFont="1" applyFill="1" applyBorder="1" applyAlignment="1" applyProtection="1">
      <alignment horizontal="center" vertical="center" shrinkToFit="1"/>
    </xf>
    <xf numFmtId="164" fontId="15" fillId="7" borderId="24" xfId="1" applyNumberFormat="1" applyFont="1" applyFill="1" applyBorder="1" applyAlignment="1" applyProtection="1">
      <alignment horizontal="center" vertical="center" shrinkToFit="1"/>
    </xf>
    <xf numFmtId="0" fontId="15" fillId="4" borderId="26" xfId="1" applyNumberFormat="1" applyFont="1" applyFill="1" applyBorder="1" applyAlignment="1" applyProtection="1">
      <alignment horizontal="center" vertical="center" shrinkToFit="1"/>
      <protection locked="0"/>
    </xf>
    <xf numFmtId="164" fontId="15" fillId="4" borderId="26" xfId="1" applyNumberFormat="1" applyFont="1" applyFill="1" applyBorder="1" applyAlignment="1" applyProtection="1">
      <alignment horizontal="center" vertical="center" shrinkToFit="1"/>
      <protection locked="0"/>
    </xf>
    <xf numFmtId="164" fontId="15" fillId="4" borderId="27" xfId="1" applyNumberFormat="1" applyFont="1" applyFill="1" applyBorder="1" applyAlignment="1" applyProtection="1">
      <alignment horizontal="center" vertical="center" shrinkToFit="1"/>
      <protection locked="0"/>
    </xf>
    <xf numFmtId="164" fontId="5" fillId="4" borderId="6" xfId="1" applyNumberFormat="1" applyFont="1" applyFill="1" applyBorder="1" applyAlignment="1" applyProtection="1">
      <alignment horizontal="center" vertical="center" shrinkToFit="1"/>
      <protection hidden="1"/>
    </xf>
    <xf numFmtId="164" fontId="5" fillId="4" borderId="7" xfId="1" applyNumberFormat="1" applyFont="1" applyFill="1" applyBorder="1" applyAlignment="1" applyProtection="1">
      <alignment horizontal="center" vertical="center" shrinkToFit="1"/>
      <protection hidden="1"/>
    </xf>
    <xf numFmtId="2" fontId="5" fillId="4" borderId="0" xfId="1" applyNumberFormat="1" applyFont="1" applyFill="1" applyBorder="1" applyAlignment="1" applyProtection="1">
      <alignment horizontal="center" vertical="center"/>
      <protection hidden="1"/>
    </xf>
    <xf numFmtId="0" fontId="5" fillId="4" borderId="0" xfId="1" applyFont="1" applyFill="1" applyBorder="1" applyAlignment="1" applyProtection="1">
      <alignment horizontal="left" vertical="center"/>
    </xf>
    <xf numFmtId="0" fontId="5" fillId="4" borderId="16" xfId="1" applyFont="1" applyFill="1" applyBorder="1" applyAlignment="1" applyProtection="1">
      <alignment horizontal="left" vertical="center"/>
    </xf>
    <xf numFmtId="2" fontId="5" fillId="4" borderId="2" xfId="1" applyNumberFormat="1" applyFont="1" applyFill="1" applyBorder="1" applyAlignment="1" applyProtection="1">
      <alignment horizontal="center" vertical="center"/>
      <protection hidden="1"/>
    </xf>
    <xf numFmtId="1" fontId="5" fillId="4" borderId="0" xfId="1" applyNumberFormat="1" applyFont="1" applyFill="1" applyBorder="1" applyAlignment="1" applyProtection="1">
      <alignment horizontal="center" vertical="center"/>
      <protection hidden="1"/>
    </xf>
    <xf numFmtId="0" fontId="5" fillId="4" borderId="0" xfId="1" applyFont="1" applyFill="1" applyBorder="1" applyAlignment="1" applyProtection="1">
      <alignment horizontal="center" vertical="center"/>
      <protection hidden="1"/>
    </xf>
    <xf numFmtId="0" fontId="5" fillId="4" borderId="5" xfId="1" applyFont="1" applyFill="1" applyBorder="1" applyAlignment="1" applyProtection="1">
      <alignment horizontal="right" vertical="center" shrinkToFit="1"/>
    </xf>
    <xf numFmtId="0" fontId="5" fillId="4" borderId="6" xfId="1" applyFont="1" applyFill="1" applyBorder="1" applyAlignment="1" applyProtection="1">
      <alignment horizontal="right" vertical="center" shrinkToFit="1"/>
    </xf>
    <xf numFmtId="0" fontId="5" fillId="3" borderId="8" xfId="1" applyFont="1" applyFill="1" applyBorder="1" applyAlignment="1" applyProtection="1">
      <alignment horizontal="center"/>
      <protection hidden="1"/>
    </xf>
    <xf numFmtId="0" fontId="5" fillId="3" borderId="9" xfId="1" applyFont="1" applyFill="1" applyBorder="1" applyAlignment="1" applyProtection="1">
      <alignment horizontal="center"/>
      <protection hidden="1"/>
    </xf>
    <xf numFmtId="0" fontId="5" fillId="3" borderId="10" xfId="1" applyFont="1" applyFill="1" applyBorder="1" applyAlignment="1" applyProtection="1">
      <alignment horizontal="center"/>
      <protection hidden="1"/>
    </xf>
    <xf numFmtId="2" fontId="5" fillId="3" borderId="8" xfId="1" applyNumberFormat="1" applyFont="1" applyFill="1" applyBorder="1" applyAlignment="1" applyProtection="1">
      <alignment horizontal="center"/>
      <protection hidden="1"/>
    </xf>
    <xf numFmtId="2" fontId="5" fillId="3" borderId="9" xfId="1" applyNumberFormat="1" applyFont="1" applyFill="1" applyBorder="1" applyAlignment="1" applyProtection="1">
      <alignment horizontal="center"/>
      <protection hidden="1"/>
    </xf>
    <xf numFmtId="2" fontId="5" fillId="3" borderId="10" xfId="1" applyNumberFormat="1" applyFont="1" applyFill="1" applyBorder="1" applyAlignment="1" applyProtection="1">
      <alignment horizontal="center"/>
      <protection hidden="1"/>
    </xf>
    <xf numFmtId="0" fontId="5" fillId="4" borderId="1" xfId="1" applyFont="1" applyFill="1" applyBorder="1" applyAlignment="1" applyProtection="1">
      <alignment horizontal="right" vertical="center" shrinkToFit="1"/>
    </xf>
    <xf numFmtId="0" fontId="5" fillId="4" borderId="2" xfId="1" applyFont="1" applyFill="1" applyBorder="1" applyAlignment="1" applyProtection="1">
      <alignment horizontal="right" vertical="center" shrinkToFit="1"/>
    </xf>
    <xf numFmtId="0" fontId="5" fillId="4" borderId="4" xfId="1" applyFont="1" applyFill="1" applyBorder="1" applyAlignment="1" applyProtection="1">
      <alignment horizontal="right" vertical="center" shrinkToFit="1"/>
    </xf>
    <xf numFmtId="0" fontId="5" fillId="4" borderId="0" xfId="1" applyFont="1" applyFill="1" applyBorder="1" applyAlignment="1" applyProtection="1">
      <alignment horizontal="right" vertical="center" shrinkToFit="1"/>
    </xf>
    <xf numFmtId="0" fontId="15" fillId="4" borderId="2" xfId="1" applyNumberFormat="1" applyFont="1" applyFill="1" applyBorder="1" applyAlignment="1" applyProtection="1">
      <alignment horizontal="center" vertical="center" shrinkToFit="1"/>
      <protection locked="0"/>
    </xf>
    <xf numFmtId="0" fontId="15" fillId="4" borderId="3" xfId="1" applyNumberFormat="1" applyFont="1" applyFill="1" applyBorder="1" applyAlignment="1" applyProtection="1">
      <alignment horizontal="center" vertical="center" shrinkToFit="1"/>
      <protection locked="0"/>
    </xf>
    <xf numFmtId="0" fontId="15" fillId="4" borderId="0"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2" fontId="5" fillId="0" borderId="18" xfId="1" applyNumberFormat="1" applyFont="1" applyFill="1" applyBorder="1" applyAlignment="1" applyProtection="1">
      <alignment horizontal="right" vertical="center"/>
    </xf>
    <xf numFmtId="0" fontId="5" fillId="0" borderId="18" xfId="2" applyFont="1" applyFill="1" applyBorder="1" applyAlignment="1" applyProtection="1">
      <alignment horizontal="left" vertical="center"/>
    </xf>
    <xf numFmtId="0" fontId="15" fillId="4" borderId="2" xfId="1" applyFont="1" applyFill="1" applyBorder="1" applyAlignment="1" applyProtection="1">
      <alignment horizontal="center" vertical="center" shrinkToFit="1"/>
      <protection locked="0"/>
    </xf>
    <xf numFmtId="0" fontId="15" fillId="4" borderId="3" xfId="1" applyFont="1" applyFill="1" applyBorder="1" applyAlignment="1" applyProtection="1">
      <alignment horizontal="center" vertical="center" shrinkToFit="1"/>
      <protection locked="0"/>
    </xf>
    <xf numFmtId="0" fontId="0" fillId="4" borderId="4" xfId="1" applyFont="1" applyFill="1" applyBorder="1" applyAlignment="1" applyProtection="1">
      <alignment horizontal="right" vertical="center" shrinkToFit="1"/>
    </xf>
    <xf numFmtId="164" fontId="15" fillId="4" borderId="0" xfId="1" applyNumberFormat="1" applyFont="1" applyFill="1" applyBorder="1" applyAlignment="1" applyProtection="1">
      <alignment horizontal="center" vertical="center" shrinkToFit="1"/>
      <protection locked="0"/>
    </xf>
    <xf numFmtId="164" fontId="15" fillId="4" borderId="16" xfId="1" applyNumberFormat="1" applyFont="1" applyFill="1" applyBorder="1" applyAlignment="1" applyProtection="1">
      <alignment horizontal="center" vertical="center" shrinkToFit="1"/>
      <protection locked="0"/>
    </xf>
    <xf numFmtId="0" fontId="15" fillId="7" borderId="0" xfId="1" applyNumberFormat="1" applyFont="1" applyFill="1" applyBorder="1" applyAlignment="1" applyProtection="1">
      <alignment horizontal="center" vertical="center" shrinkToFit="1"/>
    </xf>
    <xf numFmtId="0" fontId="15" fillId="7" borderId="16" xfId="1" applyNumberFormat="1" applyFont="1" applyFill="1" applyBorder="1" applyAlignment="1" applyProtection="1">
      <alignment horizontal="center" vertical="center" shrinkToFit="1"/>
    </xf>
    <xf numFmtId="0" fontId="15" fillId="4" borderId="0" xfId="1" applyNumberFormat="1" applyFont="1" applyFill="1" applyBorder="1" applyAlignment="1" applyProtection="1">
      <alignment horizontal="center" vertical="center" shrinkToFit="1"/>
      <protection locked="0"/>
    </xf>
    <xf numFmtId="0" fontId="15" fillId="4" borderId="16" xfId="1" applyNumberFormat="1" applyFont="1" applyFill="1" applyBorder="1" applyAlignment="1" applyProtection="1">
      <alignment horizontal="center" vertical="center" shrinkToFit="1"/>
      <protection locked="0"/>
    </xf>
    <xf numFmtId="0" fontId="5" fillId="6" borderId="21" xfId="1" applyFont="1" applyFill="1" applyBorder="1" applyAlignment="1" applyProtection="1">
      <alignment horizontal="right" vertical="center" shrinkToFit="1"/>
      <protection hidden="1"/>
    </xf>
    <xf numFmtId="0" fontId="5" fillId="6" borderId="22" xfId="1" applyFont="1" applyFill="1" applyBorder="1" applyAlignment="1" applyProtection="1">
      <alignment horizontal="right" vertical="center" shrinkToFit="1"/>
      <protection hidden="1"/>
    </xf>
    <xf numFmtId="0" fontId="5" fillId="4" borderId="25" xfId="1" applyFont="1" applyFill="1" applyBorder="1" applyAlignment="1" applyProtection="1">
      <alignment horizontal="right" vertical="center" shrinkToFit="1"/>
    </xf>
    <xf numFmtId="0" fontId="5" fillId="4" borderId="26" xfId="1" applyFont="1" applyFill="1" applyBorder="1" applyAlignment="1" applyProtection="1">
      <alignment horizontal="right" vertical="center" shrinkToFit="1"/>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5" xfId="0" applyFont="1" applyFill="1" applyBorder="1" applyAlignment="1" applyProtection="1">
      <alignment horizontal="right" vertical="center" indent="1"/>
      <protection locked="0"/>
    </xf>
    <xf numFmtId="0" fontId="15" fillId="4" borderId="6" xfId="0" applyFont="1" applyFill="1" applyBorder="1" applyAlignment="1" applyProtection="1">
      <alignment horizontal="right" vertical="center" indent="1"/>
      <protection locked="0"/>
    </xf>
    <xf numFmtId="0" fontId="15" fillId="4" borderId="7" xfId="0" applyFont="1" applyFill="1" applyBorder="1" applyAlignment="1" applyProtection="1">
      <alignment horizontal="right" vertical="center" indent="1"/>
      <protection locked="0"/>
    </xf>
    <xf numFmtId="0" fontId="5" fillId="4" borderId="1" xfId="0" applyFont="1" applyFill="1" applyBorder="1" applyAlignment="1" applyProtection="1">
      <alignment horizontal="right" vertical="center" shrinkToFit="1"/>
    </xf>
    <xf numFmtId="0" fontId="5" fillId="4" borderId="2" xfId="0" applyFont="1" applyFill="1" applyBorder="1" applyAlignment="1" applyProtection="1">
      <alignment horizontal="right" vertical="center" shrinkToFit="1"/>
    </xf>
    <xf numFmtId="164" fontId="5" fillId="4" borderId="23" xfId="1" applyNumberFormat="1" applyFont="1" applyFill="1" applyBorder="1" applyAlignment="1" applyProtection="1">
      <alignment horizontal="center" vertical="center" shrinkToFit="1"/>
      <protection hidden="1"/>
    </xf>
    <xf numFmtId="164" fontId="5" fillId="4" borderId="24" xfId="1" applyNumberFormat="1" applyFont="1" applyFill="1" applyBorder="1" applyAlignment="1" applyProtection="1">
      <alignment horizontal="center" vertical="center" shrinkToFit="1"/>
      <protection hidden="1"/>
    </xf>
    <xf numFmtId="166" fontId="6" fillId="0" borderId="14" xfId="1" applyNumberFormat="1" applyFont="1" applyFill="1" applyBorder="1" applyAlignment="1" applyProtection="1">
      <alignment horizontal="center" vertical="center"/>
      <protection hidden="1"/>
    </xf>
    <xf numFmtId="166" fontId="6" fillId="0" borderId="9" xfId="1" applyNumberFormat="1" applyFont="1" applyFill="1" applyBorder="1" applyAlignment="1" applyProtection="1">
      <alignment horizontal="center" vertical="center"/>
      <protection hidden="1"/>
    </xf>
    <xf numFmtId="166" fontId="6" fillId="0" borderId="12" xfId="1" applyNumberFormat="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6" fillId="4" borderId="9" xfId="1" applyFont="1" applyFill="1" applyBorder="1" applyAlignment="1" applyProtection="1">
      <alignment horizontal="center" vertical="center"/>
      <protection hidden="1"/>
    </xf>
    <xf numFmtId="0" fontId="6" fillId="4" borderId="10" xfId="1" applyFont="1" applyFill="1" applyBorder="1" applyAlignment="1" applyProtection="1">
      <alignment horizontal="center" vertical="center"/>
      <protection hidden="1"/>
    </xf>
    <xf numFmtId="0" fontId="5" fillId="6" borderId="22" xfId="1" applyFont="1" applyFill="1" applyBorder="1" applyAlignment="1" applyProtection="1">
      <alignment horizontal="center" vertical="center" shrinkToFit="1"/>
    </xf>
    <xf numFmtId="0" fontId="5" fillId="6" borderId="20" xfId="1" applyFont="1" applyFill="1" applyBorder="1" applyAlignment="1" applyProtection="1">
      <alignment horizontal="center" vertical="center" shrinkToFit="1"/>
    </xf>
    <xf numFmtId="0" fontId="15" fillId="4" borderId="23" xfId="1" applyNumberFormat="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protection hidden="1"/>
    </xf>
    <xf numFmtId="0" fontId="5" fillId="0" borderId="9" xfId="1" applyFont="1" applyFill="1" applyBorder="1" applyAlignment="1" applyProtection="1">
      <alignment horizontal="center" vertical="center"/>
      <protection hidden="1"/>
    </xf>
    <xf numFmtId="0" fontId="6" fillId="0" borderId="14" xfId="1" applyFont="1" applyFill="1" applyBorder="1" applyAlignment="1" applyProtection="1">
      <alignment horizontal="center" vertical="center"/>
      <protection hidden="1"/>
    </xf>
    <xf numFmtId="0" fontId="6" fillId="0" borderId="9" xfId="1" applyFont="1" applyFill="1" applyBorder="1" applyAlignment="1" applyProtection="1">
      <alignment horizontal="center" vertical="center"/>
      <protection hidden="1"/>
    </xf>
    <xf numFmtId="0" fontId="6" fillId="0" borderId="10" xfId="1" applyFont="1" applyFill="1" applyBorder="1" applyAlignment="1" applyProtection="1">
      <alignment horizontal="center" vertical="center"/>
      <protection hidden="1"/>
    </xf>
    <xf numFmtId="0" fontId="5" fillId="0" borderId="13" xfId="1"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5" fillId="4" borderId="4" xfId="0" applyFont="1" applyFill="1" applyBorder="1" applyAlignment="1" applyProtection="1">
      <alignment horizontal="right" vertical="center" shrinkToFit="1"/>
    </xf>
    <xf numFmtId="0" fontId="5" fillId="4" borderId="0" xfId="0" applyFont="1" applyFill="1" applyBorder="1" applyAlignment="1" applyProtection="1">
      <alignment horizontal="right" vertical="center" shrinkToFit="1"/>
    </xf>
    <xf numFmtId="0" fontId="5" fillId="4" borderId="5" xfId="0" applyFont="1" applyFill="1" applyBorder="1" applyAlignment="1" applyProtection="1">
      <alignment horizontal="right" vertical="center" shrinkToFit="1"/>
    </xf>
    <xf numFmtId="0" fontId="5" fillId="4" borderId="6" xfId="0" applyFont="1" applyFill="1" applyBorder="1" applyAlignment="1" applyProtection="1">
      <alignment horizontal="right" vertical="center" shrinkToFit="1"/>
    </xf>
    <xf numFmtId="2" fontId="0" fillId="4" borderId="6" xfId="0" applyNumberFormat="1" applyFill="1" applyBorder="1" applyAlignment="1" applyProtection="1">
      <alignment horizontal="center" vertical="center"/>
      <protection hidden="1"/>
    </xf>
    <xf numFmtId="2" fontId="0" fillId="4" borderId="7" xfId="0" applyNumberFormat="1" applyFill="1" applyBorder="1" applyAlignment="1" applyProtection="1">
      <alignment horizontal="center" vertical="center"/>
      <protection hidden="1"/>
    </xf>
    <xf numFmtId="0" fontId="6" fillId="0" borderId="9" xfId="1" applyFont="1" applyBorder="1" applyAlignment="1" applyProtection="1">
      <alignment horizontal="center" vertical="center" shrinkToFit="1"/>
      <protection hidden="1"/>
    </xf>
    <xf numFmtId="2" fontId="5" fillId="4" borderId="6" xfId="1" applyNumberFormat="1" applyFont="1" applyFill="1" applyBorder="1" applyAlignment="1" applyProtection="1">
      <alignment horizontal="center" vertical="center" shrinkToFit="1"/>
      <protection hidden="1"/>
    </xf>
    <xf numFmtId="2" fontId="5" fillId="4" borderId="7" xfId="1" applyNumberFormat="1" applyFont="1" applyFill="1" applyBorder="1" applyAlignment="1" applyProtection="1">
      <alignment horizontal="center" vertical="center" shrinkToFit="1"/>
      <protection hidden="1"/>
    </xf>
    <xf numFmtId="0" fontId="5" fillId="0" borderId="8" xfId="1" applyFont="1" applyFill="1" applyBorder="1" applyAlignment="1" applyProtection="1">
      <alignment horizontal="right" vertical="center"/>
      <protection hidden="1"/>
    </xf>
    <xf numFmtId="0" fontId="5" fillId="0" borderId="13" xfId="1" applyFont="1" applyFill="1" applyBorder="1" applyAlignment="1" applyProtection="1">
      <alignment horizontal="right" vertical="center"/>
      <protection hidden="1"/>
    </xf>
    <xf numFmtId="0" fontId="11" fillId="0" borderId="14" xfId="1" applyFont="1" applyFill="1" applyBorder="1" applyAlignment="1" applyProtection="1">
      <alignment horizontal="left" vertical="center" indent="1"/>
      <protection hidden="1"/>
    </xf>
    <xf numFmtId="0" fontId="11" fillId="0" borderId="9" xfId="1" applyFont="1" applyFill="1" applyBorder="1" applyAlignment="1" applyProtection="1">
      <alignment horizontal="left" vertical="center" indent="1"/>
      <protection hidden="1"/>
    </xf>
    <xf numFmtId="2" fontId="15" fillId="4" borderId="0" xfId="1" applyNumberFormat="1" applyFont="1" applyFill="1" applyBorder="1" applyAlignment="1" applyProtection="1">
      <alignment horizontal="center" vertical="center" shrinkToFit="1"/>
      <protection locked="0"/>
    </xf>
    <xf numFmtId="2" fontId="15" fillId="4" borderId="16" xfId="1" applyNumberFormat="1" applyFont="1" applyFill="1" applyBorder="1" applyAlignment="1" applyProtection="1">
      <alignment horizontal="center" vertical="center" shrinkToFit="1"/>
      <protection locked="0"/>
    </xf>
    <xf numFmtId="2" fontId="5" fillId="4" borderId="0" xfId="1" applyNumberFormat="1" applyFont="1" applyFill="1" applyBorder="1" applyAlignment="1" applyProtection="1">
      <alignment horizontal="center" vertical="center" shrinkToFit="1"/>
      <protection hidden="1"/>
    </xf>
    <xf numFmtId="2" fontId="5" fillId="4" borderId="16" xfId="1" applyNumberFormat="1" applyFont="1" applyFill="1" applyBorder="1" applyAlignment="1" applyProtection="1">
      <alignment horizontal="center" vertical="center" shrinkToFit="1"/>
      <protection hidden="1"/>
    </xf>
    <xf numFmtId="0" fontId="15" fillId="4" borderId="0" xfId="1" applyFont="1" applyFill="1" applyBorder="1" applyAlignment="1" applyProtection="1">
      <alignment horizontal="center" vertical="center" shrinkToFit="1"/>
      <protection locked="0"/>
    </xf>
    <xf numFmtId="0" fontId="15" fillId="4" borderId="16" xfId="1" applyFont="1" applyFill="1" applyBorder="1" applyAlignment="1" applyProtection="1">
      <alignment horizontal="center" vertical="center" shrinkToFit="1"/>
      <protection locked="0"/>
    </xf>
    <xf numFmtId="1" fontId="5" fillId="4" borderId="0" xfId="1" applyNumberFormat="1" applyFont="1" applyFill="1" applyBorder="1" applyAlignment="1" applyProtection="1">
      <alignment horizontal="center" vertical="center" shrinkToFit="1"/>
      <protection hidden="1"/>
    </xf>
    <xf numFmtId="1" fontId="5" fillId="4" borderId="16" xfId="1" applyNumberFormat="1" applyFont="1" applyFill="1" applyBorder="1" applyAlignment="1" applyProtection="1">
      <alignment horizontal="center" vertical="center" shrinkToFit="1"/>
      <protection hidden="1"/>
    </xf>
    <xf numFmtId="0" fontId="5" fillId="3" borderId="6" xfId="1" applyFont="1" applyFill="1" applyBorder="1" applyAlignment="1" applyProtection="1">
      <alignment horizontal="left"/>
    </xf>
    <xf numFmtId="0" fontId="5" fillId="3" borderId="6" xfId="1" applyFont="1" applyFill="1" applyBorder="1" applyAlignment="1" applyProtection="1">
      <alignment horizontal="right"/>
    </xf>
    <xf numFmtId="0" fontId="8" fillId="0" borderId="2"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11" fillId="0" borderId="1" xfId="1" applyFont="1" applyFill="1" applyBorder="1" applyAlignment="1" applyProtection="1">
      <alignment horizontal="center" vertical="center" wrapText="1"/>
      <protection hidden="1"/>
    </xf>
    <xf numFmtId="0" fontId="11" fillId="0" borderId="2" xfId="1" applyFont="1" applyFill="1" applyBorder="1" applyAlignment="1" applyProtection="1">
      <alignment horizontal="center" vertical="center" wrapText="1"/>
      <protection hidden="1"/>
    </xf>
    <xf numFmtId="0" fontId="11" fillId="0" borderId="4" xfId="1" applyFont="1" applyFill="1" applyBorder="1" applyAlignment="1" applyProtection="1">
      <alignment horizontal="center" vertical="center" wrapText="1"/>
      <protection hidden="1"/>
    </xf>
    <xf numFmtId="0" fontId="11" fillId="0" borderId="0" xfId="1" applyFont="1" applyFill="1" applyBorder="1" applyAlignment="1" applyProtection="1">
      <alignment horizontal="center" vertical="center" wrapText="1"/>
      <protection hidden="1"/>
    </xf>
    <xf numFmtId="0" fontId="4" fillId="0" borderId="9" xfId="1" applyFont="1" applyFill="1" applyBorder="1" applyAlignment="1" applyProtection="1">
      <alignment horizontal="center" vertical="center"/>
      <protection hidden="1"/>
    </xf>
    <xf numFmtId="2" fontId="6" fillId="0" borderId="14" xfId="1" applyNumberFormat="1" applyFont="1" applyFill="1" applyBorder="1" applyAlignment="1" applyProtection="1">
      <alignment horizontal="center" vertical="center"/>
      <protection hidden="1"/>
    </xf>
    <xf numFmtId="2" fontId="6" fillId="0" borderId="9" xfId="1" applyNumberFormat="1" applyFont="1" applyFill="1" applyBorder="1" applyAlignment="1" applyProtection="1">
      <alignment horizontal="center" vertical="center"/>
      <protection hidden="1"/>
    </xf>
    <xf numFmtId="2" fontId="6" fillId="0" borderId="12" xfId="1" applyNumberFormat="1" applyFont="1" applyFill="1" applyBorder="1" applyAlignment="1" applyProtection="1">
      <alignment horizontal="center" vertical="center"/>
      <protection hidden="1"/>
    </xf>
    <xf numFmtId="165" fontId="6" fillId="0" borderId="14" xfId="1" applyNumberFormat="1" applyFont="1" applyFill="1" applyBorder="1" applyAlignment="1" applyProtection="1">
      <alignment horizontal="center" vertical="center"/>
      <protection hidden="1"/>
    </xf>
    <xf numFmtId="165" fontId="6" fillId="0" borderId="9" xfId="1" applyNumberFormat="1" applyFont="1" applyFill="1" applyBorder="1" applyAlignment="1" applyProtection="1">
      <alignment horizontal="center" vertical="center"/>
      <protection hidden="1"/>
    </xf>
    <xf numFmtId="165" fontId="6" fillId="0" borderId="12" xfId="1" applyNumberFormat="1" applyFont="1" applyFill="1" applyBorder="1" applyAlignment="1" applyProtection="1">
      <alignment horizontal="center" vertical="center"/>
      <protection hidden="1"/>
    </xf>
    <xf numFmtId="0" fontId="5" fillId="4" borderId="31" xfId="1" applyFont="1" applyFill="1" applyBorder="1" applyAlignment="1" applyProtection="1">
      <alignment horizontal="right" vertical="center" shrinkToFit="1"/>
    </xf>
    <xf numFmtId="0" fontId="5" fillId="4" borderId="23" xfId="1" applyFont="1" applyFill="1" applyBorder="1" applyAlignment="1" applyProtection="1">
      <alignment horizontal="right" vertical="center" shrinkToFit="1"/>
    </xf>
    <xf numFmtId="0" fontId="2" fillId="4" borderId="28" xfId="0" applyFont="1" applyFill="1" applyBorder="1" applyAlignment="1" applyProtection="1">
      <alignment horizontal="right" vertical="center"/>
      <protection hidden="1"/>
    </xf>
    <xf numFmtId="0" fontId="2" fillId="4" borderId="29" xfId="0" applyFont="1" applyFill="1" applyBorder="1" applyAlignment="1" applyProtection="1">
      <alignment horizontal="right" vertical="center"/>
      <protection hidden="1"/>
    </xf>
    <xf numFmtId="0" fontId="2" fillId="4" borderId="29" xfId="0" applyFont="1" applyFill="1" applyBorder="1" applyAlignment="1" applyProtection="1">
      <alignment horizontal="left" vertical="center" indent="3"/>
      <protection hidden="1"/>
    </xf>
    <xf numFmtId="0" fontId="2" fillId="4" borderId="30" xfId="0" applyFont="1" applyFill="1" applyBorder="1" applyAlignment="1" applyProtection="1">
      <alignment horizontal="left" vertical="center" indent="3"/>
      <protection hidden="1"/>
    </xf>
    <xf numFmtId="0" fontId="5" fillId="4" borderId="2" xfId="1" applyFont="1" applyFill="1" applyBorder="1" applyAlignment="1" applyProtection="1">
      <alignment horizontal="left" vertical="center"/>
    </xf>
    <xf numFmtId="0" fontId="5" fillId="4" borderId="3" xfId="1" applyFont="1" applyFill="1" applyBorder="1" applyAlignment="1" applyProtection="1">
      <alignment horizontal="left" vertical="center"/>
    </xf>
    <xf numFmtId="0" fontId="0" fillId="4" borderId="2" xfId="0" applyFill="1" applyBorder="1" applyAlignment="1" applyProtection="1">
      <alignment horizontal="center" vertical="center"/>
      <protection hidden="1"/>
    </xf>
    <xf numFmtId="0" fontId="2" fillId="0" borderId="0" xfId="0" applyFont="1" applyAlignment="1" applyProtection="1">
      <alignment horizontal="left" vertical="center" wrapText="1"/>
      <protection hidden="1"/>
    </xf>
    <xf numFmtId="0" fontId="0" fillId="3" borderId="0" xfId="0" applyFill="1" applyAlignment="1" applyProtection="1">
      <alignment horizontal="center"/>
      <protection locked="0"/>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0" fillId="5" borderId="6" xfId="0" applyFill="1" applyBorder="1" applyAlignment="1">
      <alignment horizontal="left"/>
    </xf>
    <xf numFmtId="0" fontId="0" fillId="5" borderId="6" xfId="0" applyFill="1" applyBorder="1" applyAlignment="1">
      <alignment horizontal="right"/>
    </xf>
    <xf numFmtId="0" fontId="20" fillId="0" borderId="0" xfId="0" applyFont="1" applyFill="1" applyBorder="1" applyAlignment="1">
      <alignment horizontal="right" vertical="center" wrapText="1"/>
    </xf>
    <xf numFmtId="0" fontId="13" fillId="0" borderId="0" xfId="2" applyFill="1" applyBorder="1" applyAlignment="1" applyProtection="1">
      <alignment horizontal="left" vertical="center" wrapText="1"/>
      <protection locked="0"/>
    </xf>
    <xf numFmtId="0" fontId="13" fillId="0" borderId="0" xfId="2" applyFill="1" applyBorder="1" applyAlignment="1" applyProtection="1">
      <alignment horizontal="right" vertical="center" wrapText="1"/>
      <protection locked="0"/>
    </xf>
  </cellXfs>
  <cellStyles count="4">
    <cellStyle name="Hyperlink" xfId="2" builtinId="8"/>
    <cellStyle name="Normal" xfId="0" builtinId="0"/>
    <cellStyle name="Normal 2 2 2" xfId="3" xr:uid="{00000000-0005-0000-0000-000002000000}"/>
    <cellStyle name="Normal 5" xfId="1" xr:uid="{00000000-0005-0000-0000-000003000000}"/>
  </cellStyles>
  <dxfs count="19">
    <dxf>
      <font>
        <color theme="0"/>
      </font>
    </dxf>
    <dxf>
      <font>
        <color theme="0"/>
      </font>
    </dxf>
    <dxf>
      <font>
        <color theme="0"/>
      </font>
    </dxf>
    <dxf>
      <fill>
        <patternFill>
          <bgColor rgb="FFFF0000"/>
        </patternFill>
      </fill>
    </dxf>
    <dxf>
      <font>
        <b/>
        <i val="0"/>
        <color rgb="FFFF0000"/>
        <name val="Cambria"/>
        <scheme val="none"/>
      </font>
    </dxf>
    <dxf>
      <font>
        <color rgb="FFFF0000"/>
      </font>
    </dxf>
    <dxf>
      <font>
        <color theme="0"/>
      </font>
      <fill>
        <patternFill>
          <bgColor theme="0"/>
        </patternFill>
      </fill>
      <border>
        <left/>
        <right/>
        <bottom/>
      </border>
    </dxf>
    <dxf>
      <font>
        <b/>
        <i val="0"/>
      </font>
      <border>
        <top style="dotted">
          <color auto="1"/>
        </top>
        <bottom style="thin">
          <color auto="1"/>
        </bottom>
      </border>
    </dxf>
    <dxf>
      <font>
        <color rgb="FFFFFFCC"/>
      </font>
    </dxf>
    <dxf>
      <font>
        <color theme="0"/>
      </font>
      <fill>
        <patternFill>
          <bgColor theme="0"/>
        </patternFill>
      </fill>
      <border>
        <left/>
        <right/>
        <top/>
        <bottom/>
        <vertical/>
        <horizontal/>
      </border>
    </dxf>
    <dxf>
      <font>
        <color rgb="FFFFFFCC"/>
      </font>
    </dxf>
    <dxf>
      <numFmt numFmtId="15" formatCode="0.00E+00"/>
    </dxf>
    <dxf>
      <font>
        <color theme="0"/>
      </font>
    </dxf>
    <dxf>
      <font>
        <color rgb="FF9C0006"/>
      </font>
      <fill>
        <patternFill>
          <bgColor rgb="FFFFC7CE"/>
        </patternFill>
      </fill>
    </dxf>
    <dxf>
      <font>
        <b val="0"/>
        <i val="0"/>
        <color theme="0" tint="-0.34998626667073579"/>
      </font>
      <numFmt numFmtId="168" formatCode="&quot;N/A&quot;"/>
    </dxf>
    <dxf>
      <font>
        <b val="0"/>
        <i val="0"/>
        <color theme="0" tint="-0.34998626667073579"/>
      </font>
      <numFmt numFmtId="168" formatCode="&quot;N/A&quot;"/>
    </dxf>
    <dxf>
      <font>
        <b val="0"/>
        <i val="0"/>
        <color theme="0" tint="-0.34998626667073579"/>
      </font>
      <numFmt numFmtId="168" formatCode="&quot;N/A&quot;"/>
    </dxf>
    <dxf>
      <font>
        <b val="0"/>
        <i val="0"/>
        <color theme="0" tint="-0.34998626667073579"/>
      </font>
      <numFmt numFmtId="168" formatCode="&quot;N/A&quot;"/>
    </dxf>
    <dxf>
      <font>
        <b val="0"/>
        <i val="0"/>
        <color theme="0" tint="-0.34998626667073579"/>
      </font>
      <numFmt numFmtId="168" formatCode="&quot;N/A&quot;"/>
    </dxf>
  </dxfs>
  <tableStyles count="0" defaultTableStyle="TableStyleMedium9" defaultPivotStyle="PivotStyleLight16"/>
  <colors>
    <mruColors>
      <color rgb="FFCCFF33"/>
      <color rgb="FFFFFFCC"/>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38099</xdr:colOff>
      <xdr:row>12</xdr:row>
      <xdr:rowOff>201228</xdr:rowOff>
    </xdr:from>
    <xdr:to>
      <xdr:col>14</xdr:col>
      <xdr:colOff>171450</xdr:colOff>
      <xdr:row>13</xdr:row>
      <xdr:rowOff>204592</xdr:rowOff>
    </xdr:to>
    <xdr:sp macro="[0]!HelpBox2" textlink="">
      <xdr:nvSpPr>
        <xdr:cNvPr id="2" name="TextBox 1">
          <a:extLst>
            <a:ext uri="{FF2B5EF4-FFF2-40B4-BE49-F238E27FC236}">
              <a16:creationId xmlns:a16="http://schemas.microsoft.com/office/drawing/2014/main" id="{00000000-0008-0000-0000-000002000000}"/>
            </a:ext>
          </a:extLst>
        </xdr:cNvPr>
        <xdr:cNvSpPr txBox="1"/>
      </xdr:nvSpPr>
      <xdr:spPr>
        <a:xfrm>
          <a:off x="4733924" y="2677728"/>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47</xdr:col>
      <xdr:colOff>0</xdr:colOff>
      <xdr:row>4</xdr:row>
      <xdr:rowOff>142500</xdr:rowOff>
    </xdr:from>
    <xdr:to>
      <xdr:col>48</xdr:col>
      <xdr:colOff>361950</xdr:colOff>
      <xdr:row>6</xdr:row>
      <xdr:rowOff>0</xdr:rowOff>
    </xdr:to>
    <xdr:sp macro="[0]!printme" textlink="">
      <xdr:nvSpPr>
        <xdr:cNvPr id="3" name="Rounded Rectangle 2">
          <a:extLst>
            <a:ext uri="{FF2B5EF4-FFF2-40B4-BE49-F238E27FC236}">
              <a16:creationId xmlns:a16="http://schemas.microsoft.com/office/drawing/2014/main" id="{00000000-0008-0000-0000-000003000000}"/>
            </a:ext>
          </a:extLst>
        </xdr:cNvPr>
        <xdr:cNvSpPr>
          <a:spLocks noChangeArrowheads="1"/>
        </xdr:cNvSpPr>
      </xdr:nvSpPr>
      <xdr:spPr bwMode="auto">
        <a:xfrm>
          <a:off x="10029825" y="1075950"/>
          <a:ext cx="1057275" cy="352800"/>
        </a:xfrm>
        <a:prstGeom prst="roundRect">
          <a:avLst>
            <a:gd name="adj" fmla="val 8292"/>
          </a:avLst>
        </a:prstGeom>
        <a:solidFill>
          <a:srgbClr val="DDDDDD"/>
        </a:solidFill>
        <a:ln w="15875">
          <a:solidFill>
            <a:schemeClr val="bg1">
              <a:lumMod val="65000"/>
            </a:schemeClr>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hu-HU" sz="1050" b="1" i="0" u="none" strike="noStrike" baseline="0">
              <a:solidFill>
                <a:srgbClr val="333333"/>
              </a:solidFill>
              <a:latin typeface="Arial"/>
              <a:ea typeface="Arial"/>
              <a:cs typeface="Arial"/>
            </a:rPr>
            <a:t>Print Me</a:t>
          </a:r>
        </a:p>
      </xdr:txBody>
    </xdr:sp>
    <xdr:clientData fPrintsWithSheet="0"/>
  </xdr:twoCellAnchor>
  <xdr:twoCellAnchor editAs="oneCell">
    <xdr:from>
      <xdr:col>2</xdr:col>
      <xdr:colOff>28575</xdr:colOff>
      <xdr:row>1</xdr:row>
      <xdr:rowOff>200025</xdr:rowOff>
    </xdr:from>
    <xdr:to>
      <xdr:col>3</xdr:col>
      <xdr:colOff>314325</xdr:colOff>
      <xdr:row>3</xdr:row>
      <xdr:rowOff>200025</xdr:rowOff>
    </xdr:to>
    <xdr:pic>
      <xdr:nvPicPr>
        <xdr:cNvPr id="8" name="Picture 6" descr="SE logo_small.jp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390525"/>
          <a:ext cx="6572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38099</xdr:colOff>
      <xdr:row>8</xdr:row>
      <xdr:rowOff>202357</xdr:rowOff>
    </xdr:from>
    <xdr:to>
      <xdr:col>14</xdr:col>
      <xdr:colOff>171450</xdr:colOff>
      <xdr:row>9</xdr:row>
      <xdr:rowOff>205721</xdr:rowOff>
    </xdr:to>
    <xdr:sp macro="[0]!HelpBox1" textlink="">
      <xdr:nvSpPr>
        <xdr:cNvPr id="243" name="TextBox 242">
          <a:extLst>
            <a:ext uri="{FF2B5EF4-FFF2-40B4-BE49-F238E27FC236}">
              <a16:creationId xmlns:a16="http://schemas.microsoft.com/office/drawing/2014/main" id="{00000000-0008-0000-0000-0000F3000000}"/>
            </a:ext>
          </a:extLst>
        </xdr:cNvPr>
        <xdr:cNvSpPr txBox="1"/>
      </xdr:nvSpPr>
      <xdr:spPr>
        <a:xfrm>
          <a:off x="4733924" y="2050207"/>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25</xdr:row>
      <xdr:rowOff>206186</xdr:rowOff>
    </xdr:from>
    <xdr:to>
      <xdr:col>14</xdr:col>
      <xdr:colOff>171450</xdr:colOff>
      <xdr:row>27</xdr:row>
      <xdr:rowOff>0</xdr:rowOff>
    </xdr:to>
    <xdr:sp macro="[0]!HelpBox5" textlink="">
      <xdr:nvSpPr>
        <xdr:cNvPr id="244" name="TextBox 243">
          <a:extLst>
            <a:ext uri="{FF2B5EF4-FFF2-40B4-BE49-F238E27FC236}">
              <a16:creationId xmlns:a16="http://schemas.microsoft.com/office/drawing/2014/main" id="{00000000-0008-0000-0000-0000F4000000}"/>
            </a:ext>
          </a:extLst>
        </xdr:cNvPr>
        <xdr:cNvSpPr txBox="1"/>
      </xdr:nvSpPr>
      <xdr:spPr>
        <a:xfrm>
          <a:off x="4733924" y="561638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26</xdr:row>
      <xdr:rowOff>206186</xdr:rowOff>
    </xdr:from>
    <xdr:to>
      <xdr:col>14</xdr:col>
      <xdr:colOff>171450</xdr:colOff>
      <xdr:row>28</xdr:row>
      <xdr:rowOff>0</xdr:rowOff>
    </xdr:to>
    <xdr:sp macro="[0]!HelpBox6" textlink="">
      <xdr:nvSpPr>
        <xdr:cNvPr id="245" name="TextBox 244">
          <a:extLst>
            <a:ext uri="{FF2B5EF4-FFF2-40B4-BE49-F238E27FC236}">
              <a16:creationId xmlns:a16="http://schemas.microsoft.com/office/drawing/2014/main" id="{00000000-0008-0000-0000-0000F5000000}"/>
            </a:ext>
          </a:extLst>
        </xdr:cNvPr>
        <xdr:cNvSpPr txBox="1"/>
      </xdr:nvSpPr>
      <xdr:spPr>
        <a:xfrm>
          <a:off x="4733924" y="582593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23</xdr:row>
      <xdr:rowOff>206186</xdr:rowOff>
    </xdr:from>
    <xdr:to>
      <xdr:col>14</xdr:col>
      <xdr:colOff>171450</xdr:colOff>
      <xdr:row>25</xdr:row>
      <xdr:rowOff>656</xdr:rowOff>
    </xdr:to>
    <xdr:sp macro="[0]!HelpBox3" textlink="">
      <xdr:nvSpPr>
        <xdr:cNvPr id="246" name="TextBox 245">
          <a:extLst>
            <a:ext uri="{FF2B5EF4-FFF2-40B4-BE49-F238E27FC236}">
              <a16:creationId xmlns:a16="http://schemas.microsoft.com/office/drawing/2014/main" id="{00000000-0008-0000-0000-0000F6000000}"/>
            </a:ext>
          </a:extLst>
        </xdr:cNvPr>
        <xdr:cNvSpPr txBox="1"/>
      </xdr:nvSpPr>
      <xdr:spPr>
        <a:xfrm>
          <a:off x="4733924" y="519728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24</xdr:row>
      <xdr:rowOff>206186</xdr:rowOff>
    </xdr:from>
    <xdr:to>
      <xdr:col>14</xdr:col>
      <xdr:colOff>171450</xdr:colOff>
      <xdr:row>26</xdr:row>
      <xdr:rowOff>657</xdr:rowOff>
    </xdr:to>
    <xdr:sp macro="[0]!HelpBox4" textlink="">
      <xdr:nvSpPr>
        <xdr:cNvPr id="247" name="TextBox 246">
          <a:extLst>
            <a:ext uri="{FF2B5EF4-FFF2-40B4-BE49-F238E27FC236}">
              <a16:creationId xmlns:a16="http://schemas.microsoft.com/office/drawing/2014/main" id="{00000000-0008-0000-0000-0000F7000000}"/>
            </a:ext>
          </a:extLst>
        </xdr:cNvPr>
        <xdr:cNvSpPr txBox="1"/>
      </xdr:nvSpPr>
      <xdr:spPr>
        <a:xfrm>
          <a:off x="4733924" y="540683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28</xdr:col>
      <xdr:colOff>19049</xdr:colOff>
      <xdr:row>7</xdr:row>
      <xdr:rowOff>206186</xdr:rowOff>
    </xdr:from>
    <xdr:to>
      <xdr:col>29</xdr:col>
      <xdr:colOff>0</xdr:colOff>
      <xdr:row>9</xdr:row>
      <xdr:rowOff>0</xdr:rowOff>
    </xdr:to>
    <xdr:sp macro="[0]!HelpBox10" textlink="">
      <xdr:nvSpPr>
        <xdr:cNvPr id="268" name="TextBox 267">
          <a:extLst>
            <a:ext uri="{FF2B5EF4-FFF2-40B4-BE49-F238E27FC236}">
              <a16:creationId xmlns:a16="http://schemas.microsoft.com/office/drawing/2014/main" id="{00000000-0008-0000-0000-00000C010000}"/>
            </a:ext>
          </a:extLst>
        </xdr:cNvPr>
        <xdr:cNvSpPr txBox="1"/>
      </xdr:nvSpPr>
      <xdr:spPr>
        <a:xfrm>
          <a:off x="9667874" y="184448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28</xdr:col>
      <xdr:colOff>19049</xdr:colOff>
      <xdr:row>8</xdr:row>
      <xdr:rowOff>206186</xdr:rowOff>
    </xdr:from>
    <xdr:to>
      <xdr:col>29</xdr:col>
      <xdr:colOff>0</xdr:colOff>
      <xdr:row>10</xdr:row>
      <xdr:rowOff>0</xdr:rowOff>
    </xdr:to>
    <xdr:sp macro="[0]!HelpBox11" textlink="">
      <xdr:nvSpPr>
        <xdr:cNvPr id="269" name="TextBox 268">
          <a:extLst>
            <a:ext uri="{FF2B5EF4-FFF2-40B4-BE49-F238E27FC236}">
              <a16:creationId xmlns:a16="http://schemas.microsoft.com/office/drawing/2014/main" id="{00000000-0008-0000-0000-00000D010000}"/>
            </a:ext>
          </a:extLst>
        </xdr:cNvPr>
        <xdr:cNvSpPr txBox="1"/>
      </xdr:nvSpPr>
      <xdr:spPr>
        <a:xfrm>
          <a:off x="9667874" y="205403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33</xdr:row>
      <xdr:rowOff>206186</xdr:rowOff>
    </xdr:from>
    <xdr:to>
      <xdr:col>14</xdr:col>
      <xdr:colOff>171450</xdr:colOff>
      <xdr:row>35</xdr:row>
      <xdr:rowOff>656</xdr:rowOff>
    </xdr:to>
    <xdr:sp macro="[0]!HelpBox7" textlink="">
      <xdr:nvSpPr>
        <xdr:cNvPr id="270" name="TextBox 269">
          <a:extLst>
            <a:ext uri="{FF2B5EF4-FFF2-40B4-BE49-F238E27FC236}">
              <a16:creationId xmlns:a16="http://schemas.microsoft.com/office/drawing/2014/main" id="{00000000-0008-0000-0000-00000E010000}"/>
            </a:ext>
          </a:extLst>
        </xdr:cNvPr>
        <xdr:cNvSpPr txBox="1"/>
      </xdr:nvSpPr>
      <xdr:spPr>
        <a:xfrm>
          <a:off x="4733924" y="729278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15</xdr:col>
      <xdr:colOff>76201</xdr:colOff>
      <xdr:row>19</xdr:row>
      <xdr:rowOff>56621</xdr:rowOff>
    </xdr:from>
    <xdr:to>
      <xdr:col>26</xdr:col>
      <xdr:colOff>208486</xdr:colOff>
      <xdr:row>34</xdr:row>
      <xdr:rowOff>11616</xdr:rowOff>
    </xdr:to>
    <xdr:grpSp>
      <xdr:nvGrpSpPr>
        <xdr:cNvPr id="136" name="ParallelSpreader" hidden="1">
          <a:extLst>
            <a:ext uri="{FF2B5EF4-FFF2-40B4-BE49-F238E27FC236}">
              <a16:creationId xmlns:a16="http://schemas.microsoft.com/office/drawing/2014/main" id="{00000000-0008-0000-0000-000088000000}"/>
            </a:ext>
          </a:extLst>
        </xdr:cNvPr>
        <xdr:cNvGrpSpPr/>
      </xdr:nvGrpSpPr>
      <xdr:grpSpPr>
        <a:xfrm>
          <a:off x="4371976" y="4209521"/>
          <a:ext cx="3589860" cy="3098245"/>
          <a:chOff x="2332638" y="3732068"/>
          <a:chExt cx="4114093" cy="3098245"/>
        </a:xfrm>
      </xdr:grpSpPr>
      <xdr:sp macro="" textlink="">
        <xdr:nvSpPr>
          <xdr:cNvPr id="137" name="Parallelogram 136" hidden="1">
            <a:extLst>
              <a:ext uri="{FF2B5EF4-FFF2-40B4-BE49-F238E27FC236}">
                <a16:creationId xmlns:a16="http://schemas.microsoft.com/office/drawing/2014/main" id="{00000000-0008-0000-0000-000089000000}"/>
              </a:ext>
            </a:extLst>
          </xdr:cNvPr>
          <xdr:cNvSpPr/>
        </xdr:nvSpPr>
        <xdr:spPr>
          <a:xfrm rot="9385142" flipV="1">
            <a:off x="4243360" y="5379056"/>
            <a:ext cx="1396389" cy="451220"/>
          </a:xfrm>
          <a:prstGeom prst="parallelogram">
            <a:avLst>
              <a:gd name="adj" fmla="val 71088"/>
            </a:avLst>
          </a:prstGeom>
          <a:pattFill prst="dashHorz">
            <a:fgClr>
              <a:schemeClr val="bg1">
                <a:lumMod val="85000"/>
              </a:schemeClr>
            </a:fgClr>
            <a:bgClr>
              <a:srgbClr val="FFFFCC"/>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8" name="Parallelogram 137" hidden="1">
            <a:extLst>
              <a:ext uri="{FF2B5EF4-FFF2-40B4-BE49-F238E27FC236}">
                <a16:creationId xmlns:a16="http://schemas.microsoft.com/office/drawing/2014/main" id="{00000000-0008-0000-0000-00008A000000}"/>
              </a:ext>
            </a:extLst>
          </xdr:cNvPr>
          <xdr:cNvSpPr/>
        </xdr:nvSpPr>
        <xdr:spPr>
          <a:xfrm rot="9385142" flipV="1">
            <a:off x="4727741" y="4700510"/>
            <a:ext cx="678027" cy="225292"/>
          </a:xfrm>
          <a:prstGeom prst="parallelogram">
            <a:avLst>
              <a:gd name="adj" fmla="val 71088"/>
            </a:avLst>
          </a:prstGeom>
          <a:pattFill prst="dashHorz">
            <a:fgClr>
              <a:schemeClr val="bg1">
                <a:lumMod val="85000"/>
              </a:schemeClr>
            </a:fgClr>
            <a:bgClr>
              <a:srgbClr val="FFFFCC"/>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9" name="Straight Connector 138" hidden="1">
            <a:extLst>
              <a:ext uri="{FF2B5EF4-FFF2-40B4-BE49-F238E27FC236}">
                <a16:creationId xmlns:a16="http://schemas.microsoft.com/office/drawing/2014/main" id="{00000000-0008-0000-0000-00008B000000}"/>
              </a:ext>
            </a:extLst>
          </xdr:cNvPr>
          <xdr:cNvCxnSpPr/>
        </xdr:nvCxnSpPr>
        <xdr:spPr>
          <a:xfrm>
            <a:off x="4211411" y="5677205"/>
            <a:ext cx="476917" cy="282477"/>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0" name="Straight Connector 139" hidden="1">
            <a:extLst>
              <a:ext uri="{FF2B5EF4-FFF2-40B4-BE49-F238E27FC236}">
                <a16:creationId xmlns:a16="http://schemas.microsoft.com/office/drawing/2014/main" id="{00000000-0008-0000-0000-00008C000000}"/>
              </a:ext>
            </a:extLst>
          </xdr:cNvPr>
          <xdr:cNvCxnSpPr/>
        </xdr:nvCxnSpPr>
        <xdr:spPr>
          <a:xfrm>
            <a:off x="4211411" y="5061049"/>
            <a:ext cx="0" cy="616156"/>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1" name="Straight Connector 140" hidden="1">
            <a:extLst>
              <a:ext uri="{FF2B5EF4-FFF2-40B4-BE49-F238E27FC236}">
                <a16:creationId xmlns:a16="http://schemas.microsoft.com/office/drawing/2014/main" id="{00000000-0008-0000-0000-00008D000000}"/>
              </a:ext>
            </a:extLst>
          </xdr:cNvPr>
          <xdr:cNvCxnSpPr/>
        </xdr:nvCxnSpPr>
        <xdr:spPr>
          <a:xfrm flipH="1">
            <a:off x="4211411" y="5249650"/>
            <a:ext cx="986096" cy="427555"/>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2" name="Straight Connector 141" hidden="1">
            <a:extLst>
              <a:ext uri="{FF2B5EF4-FFF2-40B4-BE49-F238E27FC236}">
                <a16:creationId xmlns:a16="http://schemas.microsoft.com/office/drawing/2014/main" id="{00000000-0008-0000-0000-00008E000000}"/>
              </a:ext>
            </a:extLst>
          </xdr:cNvPr>
          <xdr:cNvCxnSpPr/>
        </xdr:nvCxnSpPr>
        <xdr:spPr>
          <a:xfrm>
            <a:off x="5197507" y="5249650"/>
            <a:ext cx="474196" cy="282477"/>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3" name="Straight Connector 142" hidden="1">
            <a:extLst>
              <a:ext uri="{FF2B5EF4-FFF2-40B4-BE49-F238E27FC236}">
                <a16:creationId xmlns:a16="http://schemas.microsoft.com/office/drawing/2014/main" id="{00000000-0008-0000-0000-00008F000000}"/>
              </a:ext>
            </a:extLst>
          </xdr:cNvPr>
          <xdr:cNvCxnSpPr/>
        </xdr:nvCxnSpPr>
        <xdr:spPr>
          <a:xfrm>
            <a:off x="5197507" y="4633493"/>
            <a:ext cx="0" cy="616157"/>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hidden="1">
            <a:extLst>
              <a:ext uri="{FF2B5EF4-FFF2-40B4-BE49-F238E27FC236}">
                <a16:creationId xmlns:a16="http://schemas.microsoft.com/office/drawing/2014/main" id="{00000000-0008-0000-0000-000090000000}"/>
              </a:ext>
            </a:extLst>
          </xdr:cNvPr>
          <xdr:cNvCxnSpPr/>
        </xdr:nvCxnSpPr>
        <xdr:spPr>
          <a:xfrm>
            <a:off x="5197507" y="4636943"/>
            <a:ext cx="224816" cy="142875"/>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hidden="1">
            <a:extLst>
              <a:ext uri="{FF2B5EF4-FFF2-40B4-BE49-F238E27FC236}">
                <a16:creationId xmlns:a16="http://schemas.microsoft.com/office/drawing/2014/main" id="{00000000-0008-0000-0000-000091000000}"/>
              </a:ext>
            </a:extLst>
          </xdr:cNvPr>
          <xdr:cNvCxnSpPr/>
        </xdr:nvCxnSpPr>
        <xdr:spPr>
          <a:xfrm flipV="1">
            <a:off x="4695825" y="4633493"/>
            <a:ext cx="501682" cy="213003"/>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hidden="1">
            <a:extLst>
              <a:ext uri="{FF2B5EF4-FFF2-40B4-BE49-F238E27FC236}">
                <a16:creationId xmlns:a16="http://schemas.microsoft.com/office/drawing/2014/main" id="{00000000-0008-0000-0000-000092000000}"/>
              </a:ext>
            </a:extLst>
          </xdr:cNvPr>
          <xdr:cNvCxnSpPr/>
        </xdr:nvCxnSpPr>
        <xdr:spPr>
          <a:xfrm>
            <a:off x="4695825" y="4152900"/>
            <a:ext cx="0" cy="6953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hidden="1">
            <a:extLst>
              <a:ext uri="{FF2B5EF4-FFF2-40B4-BE49-F238E27FC236}">
                <a16:creationId xmlns:a16="http://schemas.microsoft.com/office/drawing/2014/main" id="{00000000-0008-0000-0000-000093000000}"/>
              </a:ext>
            </a:extLst>
          </xdr:cNvPr>
          <xdr:cNvCxnSpPr/>
        </xdr:nvCxnSpPr>
        <xdr:spPr>
          <a:xfrm>
            <a:off x="4943475" y="4295775"/>
            <a:ext cx="0" cy="6953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8" name="Straight Connector 147" hidden="1">
            <a:extLst>
              <a:ext uri="{FF2B5EF4-FFF2-40B4-BE49-F238E27FC236}">
                <a16:creationId xmlns:a16="http://schemas.microsoft.com/office/drawing/2014/main" id="{00000000-0008-0000-0000-000094000000}"/>
              </a:ext>
            </a:extLst>
          </xdr:cNvPr>
          <xdr:cNvCxnSpPr/>
        </xdr:nvCxnSpPr>
        <xdr:spPr>
          <a:xfrm>
            <a:off x="4695825" y="4152900"/>
            <a:ext cx="247650" cy="1428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9" name="Straight Connector 148" hidden="1">
            <a:extLst>
              <a:ext uri="{FF2B5EF4-FFF2-40B4-BE49-F238E27FC236}">
                <a16:creationId xmlns:a16="http://schemas.microsoft.com/office/drawing/2014/main" id="{00000000-0008-0000-0000-000095000000}"/>
              </a:ext>
            </a:extLst>
          </xdr:cNvPr>
          <xdr:cNvCxnSpPr/>
        </xdr:nvCxnSpPr>
        <xdr:spPr>
          <a:xfrm>
            <a:off x="4695825" y="4846494"/>
            <a:ext cx="247650" cy="1446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hidden="1">
            <a:extLst>
              <a:ext uri="{FF2B5EF4-FFF2-40B4-BE49-F238E27FC236}">
                <a16:creationId xmlns:a16="http://schemas.microsoft.com/office/drawing/2014/main" id="{00000000-0008-0000-0000-000096000000}"/>
              </a:ext>
            </a:extLst>
          </xdr:cNvPr>
          <xdr:cNvCxnSpPr/>
        </xdr:nvCxnSpPr>
        <xdr:spPr>
          <a:xfrm flipV="1">
            <a:off x="4695825" y="3732068"/>
            <a:ext cx="971550" cy="42083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hidden="1">
            <a:extLst>
              <a:ext uri="{FF2B5EF4-FFF2-40B4-BE49-F238E27FC236}">
                <a16:creationId xmlns:a16="http://schemas.microsoft.com/office/drawing/2014/main" id="{00000000-0008-0000-0000-000097000000}"/>
              </a:ext>
            </a:extLst>
          </xdr:cNvPr>
          <xdr:cNvCxnSpPr/>
        </xdr:nvCxnSpPr>
        <xdr:spPr>
          <a:xfrm flipV="1">
            <a:off x="4943475" y="3876675"/>
            <a:ext cx="970684" cy="419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2" name="Straight Connector 151" hidden="1">
            <a:extLst>
              <a:ext uri="{FF2B5EF4-FFF2-40B4-BE49-F238E27FC236}">
                <a16:creationId xmlns:a16="http://schemas.microsoft.com/office/drawing/2014/main" id="{00000000-0008-0000-0000-000098000000}"/>
              </a:ext>
            </a:extLst>
          </xdr:cNvPr>
          <xdr:cNvCxnSpPr/>
        </xdr:nvCxnSpPr>
        <xdr:spPr>
          <a:xfrm flipV="1">
            <a:off x="4943475" y="4572000"/>
            <a:ext cx="970684" cy="419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3" name="Straight Connector 152" hidden="1">
            <a:extLst>
              <a:ext uri="{FF2B5EF4-FFF2-40B4-BE49-F238E27FC236}">
                <a16:creationId xmlns:a16="http://schemas.microsoft.com/office/drawing/2014/main" id="{00000000-0008-0000-0000-000099000000}"/>
              </a:ext>
            </a:extLst>
          </xdr:cNvPr>
          <xdr:cNvCxnSpPr/>
        </xdr:nvCxnSpPr>
        <xdr:spPr>
          <a:xfrm>
            <a:off x="5422323" y="4779818"/>
            <a:ext cx="245052" cy="14460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4" name="Straight Connector 153" hidden="1">
            <a:extLst>
              <a:ext uri="{FF2B5EF4-FFF2-40B4-BE49-F238E27FC236}">
                <a16:creationId xmlns:a16="http://schemas.microsoft.com/office/drawing/2014/main" id="{00000000-0008-0000-0000-00009A000000}"/>
              </a:ext>
            </a:extLst>
          </xdr:cNvPr>
          <xdr:cNvCxnSpPr/>
        </xdr:nvCxnSpPr>
        <xdr:spPr>
          <a:xfrm flipV="1">
            <a:off x="3609975" y="4924428"/>
            <a:ext cx="2057400" cy="88968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hidden="1">
            <a:extLst>
              <a:ext uri="{FF2B5EF4-FFF2-40B4-BE49-F238E27FC236}">
                <a16:creationId xmlns:a16="http://schemas.microsoft.com/office/drawing/2014/main" id="{00000000-0008-0000-0000-00009B000000}"/>
              </a:ext>
            </a:extLst>
          </xdr:cNvPr>
          <xdr:cNvCxnSpPr/>
        </xdr:nvCxnSpPr>
        <xdr:spPr>
          <a:xfrm flipV="1">
            <a:off x="3109749" y="4846495"/>
            <a:ext cx="1586076" cy="68563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6" name="Straight Connector 155" hidden="1">
            <a:extLst>
              <a:ext uri="{FF2B5EF4-FFF2-40B4-BE49-F238E27FC236}">
                <a16:creationId xmlns:a16="http://schemas.microsoft.com/office/drawing/2014/main" id="{00000000-0008-0000-0000-00009C000000}"/>
              </a:ext>
            </a:extLst>
          </xdr:cNvPr>
          <xdr:cNvCxnSpPr/>
        </xdr:nvCxnSpPr>
        <xdr:spPr>
          <a:xfrm>
            <a:off x="5667375" y="4924426"/>
            <a:ext cx="0" cy="12668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7" name="Freeform: Shape 156" hidden="1">
            <a:extLst>
              <a:ext uri="{FF2B5EF4-FFF2-40B4-BE49-F238E27FC236}">
                <a16:creationId xmlns:a16="http://schemas.microsoft.com/office/drawing/2014/main" id="{00000000-0008-0000-0000-00009D000000}"/>
              </a:ext>
            </a:extLst>
          </xdr:cNvPr>
          <xdr:cNvSpPr/>
        </xdr:nvSpPr>
        <xdr:spPr>
          <a:xfrm>
            <a:off x="5877132" y="3870722"/>
            <a:ext cx="70773" cy="707231"/>
          </a:xfrm>
          <a:custGeom>
            <a:avLst/>
            <a:gdLst>
              <a:gd name="connsiteX0" fmla="*/ 79924 w 165391"/>
              <a:gd name="connsiteY0" fmla="*/ 0 h 702469"/>
              <a:gd name="connsiteX1" fmla="*/ 2534 w 165391"/>
              <a:gd name="connsiteY1" fmla="*/ 244078 h 702469"/>
              <a:gd name="connsiteX2" fmla="*/ 163268 w 165391"/>
              <a:gd name="connsiteY2" fmla="*/ 452438 h 702469"/>
              <a:gd name="connsiteX3" fmla="*/ 79924 w 165391"/>
              <a:gd name="connsiteY3" fmla="*/ 702469 h 702469"/>
              <a:gd name="connsiteX0" fmla="*/ 38486 w 123953"/>
              <a:gd name="connsiteY0" fmla="*/ 0 h 702469"/>
              <a:gd name="connsiteX1" fmla="*/ 8721 w 123953"/>
              <a:gd name="connsiteY1" fmla="*/ 225157 h 702469"/>
              <a:gd name="connsiteX2" fmla="*/ 121830 w 123953"/>
              <a:gd name="connsiteY2" fmla="*/ 452438 h 702469"/>
              <a:gd name="connsiteX3" fmla="*/ 38486 w 123953"/>
              <a:gd name="connsiteY3" fmla="*/ 702469 h 702469"/>
              <a:gd name="connsiteX0" fmla="*/ 34321 w 70773"/>
              <a:gd name="connsiteY0" fmla="*/ 0 h 702469"/>
              <a:gd name="connsiteX1" fmla="*/ 4556 w 70773"/>
              <a:gd name="connsiteY1" fmla="*/ 225157 h 702469"/>
              <a:gd name="connsiteX2" fmla="*/ 60515 w 70773"/>
              <a:gd name="connsiteY2" fmla="*/ 471360 h 702469"/>
              <a:gd name="connsiteX3" fmla="*/ 34321 w 70773"/>
              <a:gd name="connsiteY3" fmla="*/ 702469 h 702469"/>
            </a:gdLst>
            <a:ahLst/>
            <a:cxnLst>
              <a:cxn ang="0">
                <a:pos x="connsiteX0" y="connsiteY0"/>
              </a:cxn>
              <a:cxn ang="0">
                <a:pos x="connsiteX1" y="connsiteY1"/>
              </a:cxn>
              <a:cxn ang="0">
                <a:pos x="connsiteX2" y="connsiteY2"/>
              </a:cxn>
              <a:cxn ang="0">
                <a:pos x="connsiteX3" y="connsiteY3"/>
              </a:cxn>
            </a:cxnLst>
            <a:rect l="l" t="t" r="r" b="b"/>
            <a:pathLst>
              <a:path w="70773" h="702469">
                <a:moveTo>
                  <a:pt x="34321" y="0"/>
                </a:moveTo>
                <a:cubicBezTo>
                  <a:pt x="-11320" y="84336"/>
                  <a:pt x="190" y="146597"/>
                  <a:pt x="4556" y="225157"/>
                </a:cubicBezTo>
                <a:cubicBezTo>
                  <a:pt x="8922" y="303717"/>
                  <a:pt x="47617" y="394962"/>
                  <a:pt x="60515" y="471360"/>
                </a:cubicBezTo>
                <a:cubicBezTo>
                  <a:pt x="73413" y="547758"/>
                  <a:pt x="82442" y="615652"/>
                  <a:pt x="34321" y="702469"/>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8" name="Freeform: Shape 157" hidden="1">
            <a:extLst>
              <a:ext uri="{FF2B5EF4-FFF2-40B4-BE49-F238E27FC236}">
                <a16:creationId xmlns:a16="http://schemas.microsoft.com/office/drawing/2014/main" id="{00000000-0008-0000-0000-00009E000000}"/>
              </a:ext>
            </a:extLst>
          </xdr:cNvPr>
          <xdr:cNvSpPr/>
        </xdr:nvSpPr>
        <xdr:spPr>
          <a:xfrm>
            <a:off x="3616540" y="5800044"/>
            <a:ext cx="227122" cy="1030269"/>
          </a:xfrm>
          <a:custGeom>
            <a:avLst/>
            <a:gdLst>
              <a:gd name="connsiteX0" fmla="*/ 79924 w 165391"/>
              <a:gd name="connsiteY0" fmla="*/ 0 h 702469"/>
              <a:gd name="connsiteX1" fmla="*/ 2534 w 165391"/>
              <a:gd name="connsiteY1" fmla="*/ 244078 h 702469"/>
              <a:gd name="connsiteX2" fmla="*/ 163268 w 165391"/>
              <a:gd name="connsiteY2" fmla="*/ 452438 h 702469"/>
              <a:gd name="connsiteX3" fmla="*/ 79924 w 165391"/>
              <a:gd name="connsiteY3" fmla="*/ 702469 h 702469"/>
              <a:gd name="connsiteX0" fmla="*/ 79924 w 292941"/>
              <a:gd name="connsiteY0" fmla="*/ 0 h 755654"/>
              <a:gd name="connsiteX1" fmla="*/ 2534 w 292941"/>
              <a:gd name="connsiteY1" fmla="*/ 244078 h 755654"/>
              <a:gd name="connsiteX2" fmla="*/ 163268 w 292941"/>
              <a:gd name="connsiteY2" fmla="*/ 452438 h 755654"/>
              <a:gd name="connsiteX3" fmla="*/ 281770 w 292941"/>
              <a:gd name="connsiteY3" fmla="*/ 755654 h 755654"/>
              <a:gd name="connsiteX0" fmla="*/ 84595 w 309485"/>
              <a:gd name="connsiteY0" fmla="*/ 0 h 755654"/>
              <a:gd name="connsiteX1" fmla="*/ 7205 w 309485"/>
              <a:gd name="connsiteY1" fmla="*/ 244078 h 755654"/>
              <a:gd name="connsiteX2" fmla="*/ 252926 w 309485"/>
              <a:gd name="connsiteY2" fmla="*/ 437933 h 755654"/>
              <a:gd name="connsiteX3" fmla="*/ 286441 w 309485"/>
              <a:gd name="connsiteY3" fmla="*/ 755654 h 755654"/>
              <a:gd name="connsiteX0" fmla="*/ 80717 w 288853"/>
              <a:gd name="connsiteY0" fmla="*/ 0 h 755654"/>
              <a:gd name="connsiteX1" fmla="*/ 3327 w 288853"/>
              <a:gd name="connsiteY1" fmla="*/ 244078 h 755654"/>
              <a:gd name="connsiteX2" fmla="*/ 41891 w 288853"/>
              <a:gd name="connsiteY2" fmla="*/ 573313 h 755654"/>
              <a:gd name="connsiteX3" fmla="*/ 282563 w 288853"/>
              <a:gd name="connsiteY3" fmla="*/ 755654 h 755654"/>
              <a:gd name="connsiteX0" fmla="*/ 41956 w 249623"/>
              <a:gd name="connsiteY0" fmla="*/ 0 h 755654"/>
              <a:gd name="connsiteX1" fmla="*/ 102670 w 249623"/>
              <a:gd name="connsiteY1" fmla="*/ 234408 h 755654"/>
              <a:gd name="connsiteX2" fmla="*/ 3130 w 249623"/>
              <a:gd name="connsiteY2" fmla="*/ 573313 h 755654"/>
              <a:gd name="connsiteX3" fmla="*/ 243802 w 249623"/>
              <a:gd name="connsiteY3" fmla="*/ 755654 h 755654"/>
              <a:gd name="connsiteX0" fmla="*/ 42177 w 255573"/>
              <a:gd name="connsiteY0" fmla="*/ 0 h 927072"/>
              <a:gd name="connsiteX1" fmla="*/ 102891 w 255573"/>
              <a:gd name="connsiteY1" fmla="*/ 234408 h 927072"/>
              <a:gd name="connsiteX2" fmla="*/ 3351 w 255573"/>
              <a:gd name="connsiteY2" fmla="*/ 573313 h 927072"/>
              <a:gd name="connsiteX3" fmla="*/ 249844 w 255573"/>
              <a:gd name="connsiteY3" fmla="*/ 927072 h 927072"/>
              <a:gd name="connsiteX0" fmla="*/ 64079 w 277475"/>
              <a:gd name="connsiteY0" fmla="*/ 0 h 927072"/>
              <a:gd name="connsiteX1" fmla="*/ 2651 w 277475"/>
              <a:gd name="connsiteY1" fmla="*/ 285833 h 927072"/>
              <a:gd name="connsiteX2" fmla="*/ 25253 w 277475"/>
              <a:gd name="connsiteY2" fmla="*/ 573313 h 927072"/>
              <a:gd name="connsiteX3" fmla="*/ 271746 w 277475"/>
              <a:gd name="connsiteY3" fmla="*/ 927072 h 927072"/>
              <a:gd name="connsiteX0" fmla="*/ 67759 w 288253"/>
              <a:gd name="connsiteY0" fmla="*/ 0 h 927072"/>
              <a:gd name="connsiteX1" fmla="*/ 6331 w 288253"/>
              <a:gd name="connsiteY1" fmla="*/ 285833 h 927072"/>
              <a:gd name="connsiteX2" fmla="*/ 198052 w 288253"/>
              <a:gd name="connsiteY2" fmla="*/ 624738 h 927072"/>
              <a:gd name="connsiteX3" fmla="*/ 275426 w 288253"/>
              <a:gd name="connsiteY3" fmla="*/ 927072 h 927072"/>
              <a:gd name="connsiteX0" fmla="*/ 62420 w 277694"/>
              <a:gd name="connsiteY0" fmla="*/ 0 h 927072"/>
              <a:gd name="connsiteX1" fmla="*/ 992 w 277694"/>
              <a:gd name="connsiteY1" fmla="*/ 285833 h 927072"/>
              <a:gd name="connsiteX2" fmla="*/ 98758 w 277694"/>
              <a:gd name="connsiteY2" fmla="*/ 659022 h 927072"/>
              <a:gd name="connsiteX3" fmla="*/ 270087 w 277694"/>
              <a:gd name="connsiteY3" fmla="*/ 927072 h 927072"/>
              <a:gd name="connsiteX0" fmla="*/ 8760 w 224034"/>
              <a:gd name="connsiteY0" fmla="*/ 0 h 927072"/>
              <a:gd name="connsiteX1" fmla="*/ 116451 w 224034"/>
              <a:gd name="connsiteY1" fmla="*/ 285833 h 927072"/>
              <a:gd name="connsiteX2" fmla="*/ 45098 w 224034"/>
              <a:gd name="connsiteY2" fmla="*/ 659022 h 927072"/>
              <a:gd name="connsiteX3" fmla="*/ 216427 w 224034"/>
              <a:gd name="connsiteY3" fmla="*/ 927072 h 927072"/>
            </a:gdLst>
            <a:ahLst/>
            <a:cxnLst>
              <a:cxn ang="0">
                <a:pos x="connsiteX0" y="connsiteY0"/>
              </a:cxn>
              <a:cxn ang="0">
                <a:pos x="connsiteX1" y="connsiteY1"/>
              </a:cxn>
              <a:cxn ang="0">
                <a:pos x="connsiteX2" y="connsiteY2"/>
              </a:cxn>
              <a:cxn ang="0">
                <a:pos x="connsiteX3" y="connsiteY3"/>
              </a:cxn>
            </a:cxnLst>
            <a:rect l="l" t="t" r="r" b="b"/>
            <a:pathLst>
              <a:path w="224034" h="927072">
                <a:moveTo>
                  <a:pt x="8760" y="0"/>
                </a:moveTo>
                <a:cubicBezTo>
                  <a:pt x="-36881" y="84336"/>
                  <a:pt x="110395" y="175996"/>
                  <a:pt x="116451" y="285833"/>
                </a:cubicBezTo>
                <a:cubicBezTo>
                  <a:pt x="122507" y="395670"/>
                  <a:pt x="20606" y="543578"/>
                  <a:pt x="45098" y="659022"/>
                </a:cubicBezTo>
                <a:cubicBezTo>
                  <a:pt x="69590" y="774466"/>
                  <a:pt x="264548" y="840255"/>
                  <a:pt x="216427" y="927072"/>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9" name="Freeform: Shape 158" hidden="1">
            <a:extLst>
              <a:ext uri="{FF2B5EF4-FFF2-40B4-BE49-F238E27FC236}">
                <a16:creationId xmlns:a16="http://schemas.microsoft.com/office/drawing/2014/main" id="{00000000-0008-0000-0000-00009F000000}"/>
              </a:ext>
            </a:extLst>
          </xdr:cNvPr>
          <xdr:cNvSpPr/>
        </xdr:nvSpPr>
        <xdr:spPr>
          <a:xfrm>
            <a:off x="5660526" y="3737394"/>
            <a:ext cx="244076" cy="143774"/>
          </a:xfrm>
          <a:custGeom>
            <a:avLst/>
            <a:gdLst>
              <a:gd name="connsiteX0" fmla="*/ 18711 w 259532"/>
              <a:gd name="connsiteY0" fmla="*/ 0 h 143774"/>
              <a:gd name="connsiteX1" fmla="*/ 22306 w 259532"/>
              <a:gd name="connsiteY1" fmla="*/ 93453 h 143774"/>
              <a:gd name="connsiteX2" fmla="*/ 241560 w 259532"/>
              <a:gd name="connsiteY2" fmla="*/ 64698 h 143774"/>
              <a:gd name="connsiteX3" fmla="*/ 259532 w 259532"/>
              <a:gd name="connsiteY3" fmla="*/ 143774 h 143774"/>
              <a:gd name="connsiteX0" fmla="*/ 4669 w 245490"/>
              <a:gd name="connsiteY0" fmla="*/ 0 h 143774"/>
              <a:gd name="connsiteX1" fmla="*/ 56088 w 245490"/>
              <a:gd name="connsiteY1" fmla="*/ 64878 h 143774"/>
              <a:gd name="connsiteX2" fmla="*/ 227518 w 245490"/>
              <a:gd name="connsiteY2" fmla="*/ 64698 h 143774"/>
              <a:gd name="connsiteX3" fmla="*/ 245490 w 245490"/>
              <a:gd name="connsiteY3" fmla="*/ 143774 h 143774"/>
              <a:gd name="connsiteX0" fmla="*/ 4274 w 245095"/>
              <a:gd name="connsiteY0" fmla="*/ 0 h 143774"/>
              <a:gd name="connsiteX1" fmla="*/ 55693 w 245095"/>
              <a:gd name="connsiteY1" fmla="*/ 64878 h 143774"/>
              <a:gd name="connsiteX2" fmla="*/ 198429 w 245095"/>
              <a:gd name="connsiteY2" fmla="*/ 74223 h 143774"/>
              <a:gd name="connsiteX3" fmla="*/ 245095 w 245095"/>
              <a:gd name="connsiteY3" fmla="*/ 143774 h 143774"/>
            </a:gdLst>
            <a:ahLst/>
            <a:cxnLst>
              <a:cxn ang="0">
                <a:pos x="connsiteX0" y="connsiteY0"/>
              </a:cxn>
              <a:cxn ang="0">
                <a:pos x="connsiteX1" y="connsiteY1"/>
              </a:cxn>
              <a:cxn ang="0">
                <a:pos x="connsiteX2" y="connsiteY2"/>
              </a:cxn>
              <a:cxn ang="0">
                <a:pos x="connsiteX3" y="connsiteY3"/>
              </a:cxn>
            </a:cxnLst>
            <a:rect l="l" t="t" r="r" b="b"/>
            <a:pathLst>
              <a:path w="245095" h="143774">
                <a:moveTo>
                  <a:pt x="4274" y="0"/>
                </a:moveTo>
                <a:cubicBezTo>
                  <a:pt x="-12500" y="41335"/>
                  <a:pt x="23334" y="52508"/>
                  <a:pt x="55693" y="64878"/>
                </a:cubicBezTo>
                <a:cubicBezTo>
                  <a:pt x="88052" y="77248"/>
                  <a:pt x="158891" y="65836"/>
                  <a:pt x="198429" y="74223"/>
                </a:cubicBezTo>
                <a:cubicBezTo>
                  <a:pt x="237967" y="82610"/>
                  <a:pt x="222331" y="135387"/>
                  <a:pt x="245095" y="14377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0" name="Freeform: Shape 159" hidden="1">
            <a:extLst>
              <a:ext uri="{FF2B5EF4-FFF2-40B4-BE49-F238E27FC236}">
                <a16:creationId xmlns:a16="http://schemas.microsoft.com/office/drawing/2014/main" id="{00000000-0008-0000-0000-0000A0000000}"/>
              </a:ext>
            </a:extLst>
          </xdr:cNvPr>
          <xdr:cNvSpPr/>
        </xdr:nvSpPr>
        <xdr:spPr>
          <a:xfrm>
            <a:off x="3119103" y="5517326"/>
            <a:ext cx="492295" cy="292924"/>
          </a:xfrm>
          <a:custGeom>
            <a:avLst/>
            <a:gdLst>
              <a:gd name="connsiteX0" fmla="*/ 18711 w 259532"/>
              <a:gd name="connsiteY0" fmla="*/ 0 h 143774"/>
              <a:gd name="connsiteX1" fmla="*/ 22306 w 259532"/>
              <a:gd name="connsiteY1" fmla="*/ 93453 h 143774"/>
              <a:gd name="connsiteX2" fmla="*/ 241560 w 259532"/>
              <a:gd name="connsiteY2" fmla="*/ 64698 h 143774"/>
              <a:gd name="connsiteX3" fmla="*/ 259532 w 259532"/>
              <a:gd name="connsiteY3" fmla="*/ 143774 h 143774"/>
              <a:gd name="connsiteX0" fmla="*/ 4707 w 245528"/>
              <a:gd name="connsiteY0" fmla="*/ 0 h 143774"/>
              <a:gd name="connsiteX1" fmla="*/ 55730 w 245528"/>
              <a:gd name="connsiteY1" fmla="*/ 60727 h 143774"/>
              <a:gd name="connsiteX2" fmla="*/ 227556 w 245528"/>
              <a:gd name="connsiteY2" fmla="*/ 64698 h 143774"/>
              <a:gd name="connsiteX3" fmla="*/ 245528 w 245528"/>
              <a:gd name="connsiteY3" fmla="*/ 143774 h 143774"/>
              <a:gd name="connsiteX0" fmla="*/ 4310 w 245131"/>
              <a:gd name="connsiteY0" fmla="*/ 0 h 143774"/>
              <a:gd name="connsiteX1" fmla="*/ 55333 w 245131"/>
              <a:gd name="connsiteY1" fmla="*/ 60727 h 143774"/>
              <a:gd name="connsiteX2" fmla="*/ 198702 w 245131"/>
              <a:gd name="connsiteY2" fmla="*/ 78723 h 143774"/>
              <a:gd name="connsiteX3" fmla="*/ 245131 w 245131"/>
              <a:gd name="connsiteY3" fmla="*/ 143774 h 143774"/>
            </a:gdLst>
            <a:ahLst/>
            <a:cxnLst>
              <a:cxn ang="0">
                <a:pos x="connsiteX0" y="connsiteY0"/>
              </a:cxn>
              <a:cxn ang="0">
                <a:pos x="connsiteX1" y="connsiteY1"/>
              </a:cxn>
              <a:cxn ang="0">
                <a:pos x="connsiteX2" y="connsiteY2"/>
              </a:cxn>
              <a:cxn ang="0">
                <a:pos x="connsiteX3" y="connsiteY3"/>
              </a:cxn>
            </a:cxnLst>
            <a:rect l="l" t="t" r="r" b="b"/>
            <a:pathLst>
              <a:path w="245131" h="143774">
                <a:moveTo>
                  <a:pt x="4310" y="0"/>
                </a:moveTo>
                <a:cubicBezTo>
                  <a:pt x="-12464" y="41335"/>
                  <a:pt x="22934" y="47607"/>
                  <a:pt x="55333" y="60727"/>
                </a:cubicBezTo>
                <a:cubicBezTo>
                  <a:pt x="87732" y="73848"/>
                  <a:pt x="159164" y="70336"/>
                  <a:pt x="198702" y="78723"/>
                </a:cubicBezTo>
                <a:cubicBezTo>
                  <a:pt x="238240" y="87110"/>
                  <a:pt x="222367" y="135387"/>
                  <a:pt x="245131" y="14377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1" name="Freeform: Shape 160" hidden="1">
            <a:extLst>
              <a:ext uri="{FF2B5EF4-FFF2-40B4-BE49-F238E27FC236}">
                <a16:creationId xmlns:a16="http://schemas.microsoft.com/office/drawing/2014/main" id="{00000000-0008-0000-0000-0000A1000000}"/>
              </a:ext>
            </a:extLst>
          </xdr:cNvPr>
          <xdr:cNvSpPr/>
        </xdr:nvSpPr>
        <xdr:spPr>
          <a:xfrm rot="21105620">
            <a:off x="3791697" y="6286644"/>
            <a:ext cx="1919485" cy="428961"/>
          </a:xfrm>
          <a:custGeom>
            <a:avLst/>
            <a:gdLst>
              <a:gd name="connsiteX0" fmla="*/ 0 w 1600200"/>
              <a:gd name="connsiteY0" fmla="*/ 448041 h 461704"/>
              <a:gd name="connsiteX1" fmla="*/ 533400 w 1600200"/>
              <a:gd name="connsiteY1" fmla="*/ 409941 h 461704"/>
              <a:gd name="connsiteX2" fmla="*/ 1123950 w 1600200"/>
              <a:gd name="connsiteY2" fmla="*/ 28941 h 461704"/>
              <a:gd name="connsiteX3" fmla="*/ 1600200 w 1600200"/>
              <a:gd name="connsiteY3" fmla="*/ 28941 h 461704"/>
              <a:gd name="connsiteX0" fmla="*/ 0 w 1600200"/>
              <a:gd name="connsiteY0" fmla="*/ 462594 h 635077"/>
              <a:gd name="connsiteX1" fmla="*/ 570838 w 1600200"/>
              <a:gd name="connsiteY1" fmla="*/ 621023 h 635077"/>
              <a:gd name="connsiteX2" fmla="*/ 1123950 w 1600200"/>
              <a:gd name="connsiteY2" fmla="*/ 43494 h 635077"/>
              <a:gd name="connsiteX3" fmla="*/ 1600200 w 1600200"/>
              <a:gd name="connsiteY3" fmla="*/ 43494 h 635077"/>
              <a:gd name="connsiteX0" fmla="*/ 0 w 1586077"/>
              <a:gd name="connsiteY0" fmla="*/ 423581 h 596064"/>
              <a:gd name="connsiteX1" fmla="*/ 570838 w 1586077"/>
              <a:gd name="connsiteY1" fmla="*/ 582010 h 596064"/>
              <a:gd name="connsiteX2" fmla="*/ 1123950 w 1586077"/>
              <a:gd name="connsiteY2" fmla="*/ 4481 h 596064"/>
              <a:gd name="connsiteX3" fmla="*/ 1586077 w 1586077"/>
              <a:gd name="connsiteY3" fmla="*/ 299635 h 596064"/>
              <a:gd name="connsiteX0" fmla="*/ 0 w 1586077"/>
              <a:gd name="connsiteY0" fmla="*/ 190942 h 352804"/>
              <a:gd name="connsiteX1" fmla="*/ 570838 w 1586077"/>
              <a:gd name="connsiteY1" fmla="*/ 349371 h 352804"/>
              <a:gd name="connsiteX2" fmla="*/ 1092518 w 1586077"/>
              <a:gd name="connsiteY2" fmla="*/ 12752 h 352804"/>
              <a:gd name="connsiteX3" fmla="*/ 1586077 w 1586077"/>
              <a:gd name="connsiteY3" fmla="*/ 66996 h 352804"/>
              <a:gd name="connsiteX0" fmla="*/ 0 w 1436418"/>
              <a:gd name="connsiteY0" fmla="*/ 377137 h 392123"/>
              <a:gd name="connsiteX1" fmla="*/ 421179 w 1436418"/>
              <a:gd name="connsiteY1" fmla="*/ 349369 h 392123"/>
              <a:gd name="connsiteX2" fmla="*/ 942859 w 1436418"/>
              <a:gd name="connsiteY2" fmla="*/ 12750 h 392123"/>
              <a:gd name="connsiteX3" fmla="*/ 1436418 w 1436418"/>
              <a:gd name="connsiteY3" fmla="*/ 66994 h 392123"/>
              <a:gd name="connsiteX0" fmla="*/ 0 w 1449891"/>
              <a:gd name="connsiteY0" fmla="*/ 715567 h 716251"/>
              <a:gd name="connsiteX1" fmla="*/ 434652 w 1449891"/>
              <a:gd name="connsiteY1" fmla="*/ 349369 h 716251"/>
              <a:gd name="connsiteX2" fmla="*/ 956332 w 1449891"/>
              <a:gd name="connsiteY2" fmla="*/ 12750 h 716251"/>
              <a:gd name="connsiteX3" fmla="*/ 1449891 w 1449891"/>
              <a:gd name="connsiteY3" fmla="*/ 66994 h 716251"/>
              <a:gd name="connsiteX0" fmla="*/ 0 w 1449891"/>
              <a:gd name="connsiteY0" fmla="*/ 715567 h 715567"/>
              <a:gd name="connsiteX1" fmla="*/ 434652 w 1449891"/>
              <a:gd name="connsiteY1" fmla="*/ 349369 h 715567"/>
              <a:gd name="connsiteX2" fmla="*/ 956332 w 1449891"/>
              <a:gd name="connsiteY2" fmla="*/ 12750 h 715567"/>
              <a:gd name="connsiteX3" fmla="*/ 1449891 w 1449891"/>
              <a:gd name="connsiteY3" fmla="*/ 66994 h 715567"/>
              <a:gd name="connsiteX0" fmla="*/ 0 w 1449891"/>
              <a:gd name="connsiteY0" fmla="*/ 728576 h 728576"/>
              <a:gd name="connsiteX1" fmla="*/ 508998 w 1449891"/>
              <a:gd name="connsiteY1" fmla="*/ 558949 h 728576"/>
              <a:gd name="connsiteX2" fmla="*/ 956332 w 1449891"/>
              <a:gd name="connsiteY2" fmla="*/ 25759 h 728576"/>
              <a:gd name="connsiteX3" fmla="*/ 1449891 w 1449891"/>
              <a:gd name="connsiteY3" fmla="*/ 80003 h 728576"/>
              <a:gd name="connsiteX0" fmla="*/ 0 w 1547393"/>
              <a:gd name="connsiteY0" fmla="*/ 674490 h 674491"/>
              <a:gd name="connsiteX1" fmla="*/ 606500 w 1547393"/>
              <a:gd name="connsiteY1" fmla="*/ 558949 h 674491"/>
              <a:gd name="connsiteX2" fmla="*/ 1053834 w 1547393"/>
              <a:gd name="connsiteY2" fmla="*/ 25759 h 674491"/>
              <a:gd name="connsiteX3" fmla="*/ 1547393 w 1547393"/>
              <a:gd name="connsiteY3" fmla="*/ 80003 h 674491"/>
              <a:gd name="connsiteX0" fmla="*/ 0 w 1547393"/>
              <a:gd name="connsiteY0" fmla="*/ 674490 h 705921"/>
              <a:gd name="connsiteX1" fmla="*/ 606500 w 1547393"/>
              <a:gd name="connsiteY1" fmla="*/ 558949 h 705921"/>
              <a:gd name="connsiteX2" fmla="*/ 1053834 w 1547393"/>
              <a:gd name="connsiteY2" fmla="*/ 25759 h 705921"/>
              <a:gd name="connsiteX3" fmla="*/ 1547393 w 1547393"/>
              <a:gd name="connsiteY3" fmla="*/ 80003 h 705921"/>
              <a:gd name="connsiteX0" fmla="*/ 0 w 1547393"/>
              <a:gd name="connsiteY0" fmla="*/ 674490 h 725354"/>
              <a:gd name="connsiteX1" fmla="*/ 616651 w 1547393"/>
              <a:gd name="connsiteY1" fmla="*/ 630969 h 725354"/>
              <a:gd name="connsiteX2" fmla="*/ 1053834 w 1547393"/>
              <a:gd name="connsiteY2" fmla="*/ 25759 h 725354"/>
              <a:gd name="connsiteX3" fmla="*/ 1547393 w 1547393"/>
              <a:gd name="connsiteY3" fmla="*/ 80003 h 725354"/>
              <a:gd name="connsiteX0" fmla="*/ 0 w 1454838"/>
              <a:gd name="connsiteY0" fmla="*/ 726891 h 764005"/>
              <a:gd name="connsiteX1" fmla="*/ 524096 w 1454838"/>
              <a:gd name="connsiteY1" fmla="*/ 630969 h 764005"/>
              <a:gd name="connsiteX2" fmla="*/ 961279 w 1454838"/>
              <a:gd name="connsiteY2" fmla="*/ 25759 h 764005"/>
              <a:gd name="connsiteX3" fmla="*/ 1454838 w 1454838"/>
              <a:gd name="connsiteY3" fmla="*/ 80003 h 764005"/>
            </a:gdLst>
            <a:ahLst/>
            <a:cxnLst>
              <a:cxn ang="0">
                <a:pos x="connsiteX0" y="connsiteY0"/>
              </a:cxn>
              <a:cxn ang="0">
                <a:pos x="connsiteX1" y="connsiteY1"/>
              </a:cxn>
              <a:cxn ang="0">
                <a:pos x="connsiteX2" y="connsiteY2"/>
              </a:cxn>
              <a:cxn ang="0">
                <a:pos x="connsiteX3" y="connsiteY3"/>
              </a:cxn>
            </a:cxnLst>
            <a:rect l="l" t="t" r="r" b="b"/>
            <a:pathLst>
              <a:path w="1454838" h="764005">
                <a:moveTo>
                  <a:pt x="0" y="726891"/>
                </a:moveTo>
                <a:cubicBezTo>
                  <a:pt x="212802" y="807722"/>
                  <a:pt x="363883" y="747824"/>
                  <a:pt x="524096" y="630969"/>
                </a:cubicBezTo>
                <a:cubicBezTo>
                  <a:pt x="684309" y="514114"/>
                  <a:pt x="804464" y="105583"/>
                  <a:pt x="961279" y="25759"/>
                </a:cubicBezTo>
                <a:cubicBezTo>
                  <a:pt x="1118094" y="-54065"/>
                  <a:pt x="1354826" y="76828"/>
                  <a:pt x="1454838" y="80003"/>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62" name="Straight Connector 161" hidden="1">
            <a:extLst>
              <a:ext uri="{FF2B5EF4-FFF2-40B4-BE49-F238E27FC236}">
                <a16:creationId xmlns:a16="http://schemas.microsoft.com/office/drawing/2014/main" id="{00000000-0008-0000-0000-0000A2000000}"/>
              </a:ext>
            </a:extLst>
          </xdr:cNvPr>
          <xdr:cNvCxnSpPr/>
        </xdr:nvCxnSpPr>
        <xdr:spPr>
          <a:xfrm>
            <a:off x="4211411" y="5065502"/>
            <a:ext cx="476917" cy="28247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3" name="Straight Connector 162" hidden="1">
            <a:extLst>
              <a:ext uri="{FF2B5EF4-FFF2-40B4-BE49-F238E27FC236}">
                <a16:creationId xmlns:a16="http://schemas.microsoft.com/office/drawing/2014/main" id="{00000000-0008-0000-0000-0000A3000000}"/>
              </a:ext>
            </a:extLst>
          </xdr:cNvPr>
          <xdr:cNvCxnSpPr/>
        </xdr:nvCxnSpPr>
        <xdr:spPr>
          <a:xfrm>
            <a:off x="4688328" y="5343525"/>
            <a:ext cx="0" cy="6161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hidden="1">
            <a:extLst>
              <a:ext uri="{FF2B5EF4-FFF2-40B4-BE49-F238E27FC236}">
                <a16:creationId xmlns:a16="http://schemas.microsoft.com/office/drawing/2014/main" id="{00000000-0008-0000-0000-0000A4000000}"/>
              </a:ext>
            </a:extLst>
          </xdr:cNvPr>
          <xdr:cNvCxnSpPr/>
        </xdr:nvCxnSpPr>
        <xdr:spPr>
          <a:xfrm flipH="1">
            <a:off x="4688328" y="5532127"/>
            <a:ext cx="983375" cy="42755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5" name="Straight Connector 164" hidden="1">
            <a:extLst>
              <a:ext uri="{FF2B5EF4-FFF2-40B4-BE49-F238E27FC236}">
                <a16:creationId xmlns:a16="http://schemas.microsoft.com/office/drawing/2014/main" id="{00000000-0008-0000-0000-0000A5000000}"/>
              </a:ext>
            </a:extLst>
          </xdr:cNvPr>
          <xdr:cNvCxnSpPr/>
        </xdr:nvCxnSpPr>
        <xdr:spPr>
          <a:xfrm>
            <a:off x="3608759" y="5033601"/>
            <a:ext cx="801922" cy="474571"/>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6" name="Straight Connector 165" hidden="1">
            <a:extLst>
              <a:ext uri="{FF2B5EF4-FFF2-40B4-BE49-F238E27FC236}">
                <a16:creationId xmlns:a16="http://schemas.microsoft.com/office/drawing/2014/main" id="{00000000-0008-0000-0000-0000A6000000}"/>
              </a:ext>
            </a:extLst>
          </xdr:cNvPr>
          <xdr:cNvCxnSpPr/>
        </xdr:nvCxnSpPr>
        <xdr:spPr>
          <a:xfrm>
            <a:off x="4138060" y="4781550"/>
            <a:ext cx="608434" cy="357034"/>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hidden="1">
            <a:extLst>
              <a:ext uri="{FF2B5EF4-FFF2-40B4-BE49-F238E27FC236}">
                <a16:creationId xmlns:a16="http://schemas.microsoft.com/office/drawing/2014/main" id="{00000000-0008-0000-0000-0000A7000000}"/>
              </a:ext>
            </a:extLst>
          </xdr:cNvPr>
          <xdr:cNvCxnSpPr/>
        </xdr:nvCxnSpPr>
        <xdr:spPr>
          <a:xfrm>
            <a:off x="5096543" y="5110843"/>
            <a:ext cx="0" cy="740229"/>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8" name="Straight Connector 167" hidden="1">
            <a:extLst>
              <a:ext uri="{FF2B5EF4-FFF2-40B4-BE49-F238E27FC236}">
                <a16:creationId xmlns:a16="http://schemas.microsoft.com/office/drawing/2014/main" id="{00000000-0008-0000-0000-0000A8000000}"/>
              </a:ext>
            </a:extLst>
          </xdr:cNvPr>
          <xdr:cNvCxnSpPr/>
        </xdr:nvCxnSpPr>
        <xdr:spPr>
          <a:xfrm flipH="1">
            <a:off x="4653020" y="5839378"/>
            <a:ext cx="1055274" cy="459043"/>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hidden="1">
            <a:extLst>
              <a:ext uri="{FF2B5EF4-FFF2-40B4-BE49-F238E27FC236}">
                <a16:creationId xmlns:a16="http://schemas.microsoft.com/office/drawing/2014/main" id="{00000000-0008-0000-0000-0000A9000000}"/>
              </a:ext>
            </a:extLst>
          </xdr:cNvPr>
          <xdr:cNvCxnSpPr/>
        </xdr:nvCxnSpPr>
        <xdr:spPr>
          <a:xfrm flipV="1">
            <a:off x="4648595" y="5089072"/>
            <a:ext cx="108197"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0" name="Straight Connector 169" hidden="1">
            <a:extLst>
              <a:ext uri="{FF2B5EF4-FFF2-40B4-BE49-F238E27FC236}">
                <a16:creationId xmlns:a16="http://schemas.microsoft.com/office/drawing/2014/main" id="{00000000-0008-0000-0000-0000AA000000}"/>
              </a:ext>
            </a:extLst>
          </xdr:cNvPr>
          <xdr:cNvCxnSpPr/>
        </xdr:nvCxnSpPr>
        <xdr:spPr>
          <a:xfrm flipV="1">
            <a:off x="5036969" y="5147451"/>
            <a:ext cx="108811"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hidden="1">
            <a:extLst>
              <a:ext uri="{FF2B5EF4-FFF2-40B4-BE49-F238E27FC236}">
                <a16:creationId xmlns:a16="http://schemas.microsoft.com/office/drawing/2014/main" id="{00000000-0008-0000-0000-0000AB000000}"/>
              </a:ext>
            </a:extLst>
          </xdr:cNvPr>
          <xdr:cNvCxnSpPr/>
        </xdr:nvCxnSpPr>
        <xdr:spPr>
          <a:xfrm flipV="1">
            <a:off x="5036969" y="5757665"/>
            <a:ext cx="108811"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2" name="Straight Connector 171" hidden="1">
            <a:extLst>
              <a:ext uri="{FF2B5EF4-FFF2-40B4-BE49-F238E27FC236}">
                <a16:creationId xmlns:a16="http://schemas.microsoft.com/office/drawing/2014/main" id="{00000000-0008-0000-0000-0000AC000000}"/>
              </a:ext>
            </a:extLst>
          </xdr:cNvPr>
          <xdr:cNvCxnSpPr/>
        </xdr:nvCxnSpPr>
        <xdr:spPr>
          <a:xfrm flipV="1">
            <a:off x="4314298" y="5459011"/>
            <a:ext cx="108196"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3" name="Straight Connector 172" hidden="1">
            <a:extLst>
              <a:ext uri="{FF2B5EF4-FFF2-40B4-BE49-F238E27FC236}">
                <a16:creationId xmlns:a16="http://schemas.microsoft.com/office/drawing/2014/main" id="{00000000-0008-0000-0000-0000AD000000}"/>
              </a:ext>
            </a:extLst>
          </xdr:cNvPr>
          <xdr:cNvCxnSpPr/>
        </xdr:nvCxnSpPr>
        <xdr:spPr>
          <a:xfrm flipV="1">
            <a:off x="4896772" y="4374740"/>
            <a:ext cx="580393" cy="258753"/>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4" name="Straight Connector 173" hidden="1">
            <a:extLst>
              <a:ext uri="{FF2B5EF4-FFF2-40B4-BE49-F238E27FC236}">
                <a16:creationId xmlns:a16="http://schemas.microsoft.com/office/drawing/2014/main" id="{00000000-0008-0000-0000-0000AE000000}"/>
              </a:ext>
            </a:extLst>
          </xdr:cNvPr>
          <xdr:cNvCxnSpPr/>
        </xdr:nvCxnSpPr>
        <xdr:spPr>
          <a:xfrm flipV="1">
            <a:off x="3829357" y="5170270"/>
            <a:ext cx="108811" cy="48856"/>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5" name="Straight Connector 174" hidden="1">
            <a:extLst>
              <a:ext uri="{FF2B5EF4-FFF2-40B4-BE49-F238E27FC236}">
                <a16:creationId xmlns:a16="http://schemas.microsoft.com/office/drawing/2014/main" id="{00000000-0008-0000-0000-0000AF000000}"/>
              </a:ext>
            </a:extLst>
          </xdr:cNvPr>
          <xdr:cNvCxnSpPr/>
        </xdr:nvCxnSpPr>
        <xdr:spPr>
          <a:xfrm flipV="1">
            <a:off x="4378120" y="4933067"/>
            <a:ext cx="108811"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6" name="Straight Connector 175" hidden="1">
            <a:extLst>
              <a:ext uri="{FF2B5EF4-FFF2-40B4-BE49-F238E27FC236}">
                <a16:creationId xmlns:a16="http://schemas.microsoft.com/office/drawing/2014/main" id="{00000000-0008-0000-0000-0000B0000000}"/>
              </a:ext>
            </a:extLst>
          </xdr:cNvPr>
          <xdr:cNvCxnSpPr/>
        </xdr:nvCxnSpPr>
        <xdr:spPr>
          <a:xfrm>
            <a:off x="4688328" y="6240036"/>
            <a:ext cx="0" cy="104767"/>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7" name="Straight Connector 176" hidden="1">
            <a:extLst>
              <a:ext uri="{FF2B5EF4-FFF2-40B4-BE49-F238E27FC236}">
                <a16:creationId xmlns:a16="http://schemas.microsoft.com/office/drawing/2014/main" id="{00000000-0008-0000-0000-0000B1000000}"/>
              </a:ext>
            </a:extLst>
          </xdr:cNvPr>
          <xdr:cNvCxnSpPr/>
        </xdr:nvCxnSpPr>
        <xdr:spPr>
          <a:xfrm>
            <a:off x="5666024" y="5820942"/>
            <a:ext cx="0" cy="73741"/>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8" name="Straight Connector 177" hidden="1">
            <a:extLst>
              <a:ext uri="{FF2B5EF4-FFF2-40B4-BE49-F238E27FC236}">
                <a16:creationId xmlns:a16="http://schemas.microsoft.com/office/drawing/2014/main" id="{00000000-0008-0000-0000-0000B2000000}"/>
              </a:ext>
            </a:extLst>
          </xdr:cNvPr>
          <xdr:cNvCxnSpPr/>
        </xdr:nvCxnSpPr>
        <xdr:spPr>
          <a:xfrm>
            <a:off x="4944583" y="4578145"/>
            <a:ext cx="0" cy="73741"/>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9" name="Straight Connector 178" hidden="1">
            <a:extLst>
              <a:ext uri="{FF2B5EF4-FFF2-40B4-BE49-F238E27FC236}">
                <a16:creationId xmlns:a16="http://schemas.microsoft.com/office/drawing/2014/main" id="{00000000-0008-0000-0000-0000B3000000}"/>
              </a:ext>
            </a:extLst>
          </xdr:cNvPr>
          <xdr:cNvCxnSpPr/>
        </xdr:nvCxnSpPr>
        <xdr:spPr>
          <a:xfrm>
            <a:off x="5435581" y="4355690"/>
            <a:ext cx="0" cy="74355"/>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4">
        <xdr:nvSpPr>
          <xdr:cNvPr id="180" name="TextBox 179" hidden="1">
            <a:extLst>
              <a:ext uri="{FF2B5EF4-FFF2-40B4-BE49-F238E27FC236}">
                <a16:creationId xmlns:a16="http://schemas.microsoft.com/office/drawing/2014/main" id="{00000000-0008-0000-0000-0000B4000000}"/>
              </a:ext>
            </a:extLst>
          </xdr:cNvPr>
          <xdr:cNvSpPr txBox="1"/>
        </xdr:nvSpPr>
        <xdr:spPr>
          <a:xfrm rot="20154566">
            <a:off x="4766113" y="4299207"/>
            <a:ext cx="762900" cy="20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2E44346-F55D-464F-A4FC-2B84C4BDD841}" type="TxLink">
              <a:rPr lang="en-US" sz="1100" b="0" i="0" u="none" strike="noStrike">
                <a:solidFill>
                  <a:srgbClr val="000000"/>
                </a:solidFill>
                <a:latin typeface="Calibri"/>
                <a:cs typeface="Calibri"/>
              </a:rPr>
              <a:pPr algn="ctr"/>
              <a:t>150</a:t>
            </a:fld>
            <a:endParaRPr lang="en-GB" sz="1100"/>
          </a:p>
        </xdr:txBody>
      </xdr:sp>
      <xdr:sp macro="" textlink="$AL$16">
        <xdr:nvSpPr>
          <xdr:cNvPr id="181" name="TextBox 180" hidden="1">
            <a:extLst>
              <a:ext uri="{FF2B5EF4-FFF2-40B4-BE49-F238E27FC236}">
                <a16:creationId xmlns:a16="http://schemas.microsoft.com/office/drawing/2014/main" id="{00000000-0008-0000-0000-0000B5000000}"/>
              </a:ext>
            </a:extLst>
          </xdr:cNvPr>
          <xdr:cNvSpPr txBox="1"/>
        </xdr:nvSpPr>
        <xdr:spPr>
          <a:xfrm rot="20154566">
            <a:off x="4745848" y="5893246"/>
            <a:ext cx="762900" cy="20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6AC2071-23C3-445A-8215-53F2C425FC41}" type="TxLink">
              <a:rPr lang="en-US" sz="1100" b="0" i="0" u="none" strike="noStrike">
                <a:solidFill>
                  <a:srgbClr val="000000"/>
                </a:solidFill>
                <a:latin typeface="Calibri"/>
                <a:cs typeface="Calibri"/>
              </a:rPr>
              <a:pPr algn="ctr"/>
              <a:t>440</a:t>
            </a:fld>
            <a:endParaRPr lang="en-GB" sz="1100"/>
          </a:p>
        </xdr:txBody>
      </xdr:sp>
      <xdr:sp macro="" textlink="$AL$13">
        <xdr:nvSpPr>
          <xdr:cNvPr id="182" name="TextBox 181" hidden="1">
            <a:extLst>
              <a:ext uri="{FF2B5EF4-FFF2-40B4-BE49-F238E27FC236}">
                <a16:creationId xmlns:a16="http://schemas.microsoft.com/office/drawing/2014/main" id="{00000000-0008-0000-0000-0000B6000000}"/>
              </a:ext>
            </a:extLst>
          </xdr:cNvPr>
          <xdr:cNvSpPr txBox="1"/>
        </xdr:nvSpPr>
        <xdr:spPr>
          <a:xfrm rot="1804375">
            <a:off x="3963987" y="4677774"/>
            <a:ext cx="764927" cy="20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B9314A-AA1A-4CF6-BF9B-CD07A8FB02A1}" type="TxLink">
              <a:rPr lang="en-US" sz="1100" b="0" i="0" u="none" strike="noStrike">
                <a:solidFill>
                  <a:srgbClr val="000000"/>
                </a:solidFill>
                <a:latin typeface="Calibri"/>
                <a:cs typeface="Calibri"/>
              </a:rPr>
              <a:pPr algn="ctr"/>
              <a:t>215</a:t>
            </a:fld>
            <a:endParaRPr lang="en-GB" sz="1100"/>
          </a:p>
        </xdr:txBody>
      </xdr:sp>
      <xdr:sp macro="" textlink="$AL$12">
        <xdr:nvSpPr>
          <xdr:cNvPr id="183" name="TextBox 182" hidden="1">
            <a:extLst>
              <a:ext uri="{FF2B5EF4-FFF2-40B4-BE49-F238E27FC236}">
                <a16:creationId xmlns:a16="http://schemas.microsoft.com/office/drawing/2014/main" id="{00000000-0008-0000-0000-0000B7000000}"/>
              </a:ext>
            </a:extLst>
          </xdr:cNvPr>
          <xdr:cNvSpPr txBox="1"/>
        </xdr:nvSpPr>
        <xdr:spPr>
          <a:xfrm rot="1804375">
            <a:off x="3411538" y="4915513"/>
            <a:ext cx="763711" cy="20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6E1BD1A-6C7C-405F-9B68-26F3283A2DC6}" type="TxLink">
              <a:rPr lang="en-US" sz="1100" b="0" i="0" u="none" strike="noStrike">
                <a:ln>
                  <a:noFill/>
                </a:ln>
                <a:solidFill>
                  <a:srgbClr val="000000"/>
                </a:solidFill>
                <a:effectLst/>
                <a:latin typeface="Calibri"/>
                <a:cs typeface="Calibri"/>
              </a:rPr>
              <a:pPr algn="ctr"/>
              <a:t>215</a:t>
            </a:fld>
            <a:endParaRPr lang="en-GB" sz="1100">
              <a:ln>
                <a:noFill/>
              </a:ln>
              <a:solidFill>
                <a:schemeClr val="dk1"/>
              </a:solidFill>
              <a:effectLst/>
            </a:endParaRPr>
          </a:p>
        </xdr:txBody>
      </xdr:sp>
      <xdr:sp macro="" textlink="$AL$17">
        <xdr:nvSpPr>
          <xdr:cNvPr id="184" name="TextBox 183" hidden="1">
            <a:extLst>
              <a:ext uri="{FF2B5EF4-FFF2-40B4-BE49-F238E27FC236}">
                <a16:creationId xmlns:a16="http://schemas.microsoft.com/office/drawing/2014/main" id="{00000000-0008-0000-0000-0000B8000000}"/>
              </a:ext>
            </a:extLst>
          </xdr:cNvPr>
          <xdr:cNvSpPr txBox="1"/>
        </xdr:nvSpPr>
        <xdr:spPr>
          <a:xfrm rot="16200000">
            <a:off x="4643101" y="5398228"/>
            <a:ext cx="756415" cy="20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1340FA6-573D-4B27-967E-8F4501F479CA}" type="TxLink">
              <a:rPr lang="en-US" sz="1100" b="0" i="0" u="none" strike="noStrike">
                <a:solidFill>
                  <a:srgbClr val="000000"/>
                </a:solidFill>
                <a:latin typeface="Calibri"/>
                <a:cs typeface="Calibri"/>
              </a:rPr>
              <a:pPr algn="ctr"/>
              <a:t>215</a:t>
            </a:fld>
            <a:endParaRPr lang="en-GB" sz="1100"/>
          </a:p>
        </xdr:txBody>
      </xdr:sp>
      <xdr:sp macro="" textlink="">
        <xdr:nvSpPr>
          <xdr:cNvPr id="248" name="TextBox 247" hidden="1">
            <a:extLst>
              <a:ext uri="{FF2B5EF4-FFF2-40B4-BE49-F238E27FC236}">
                <a16:creationId xmlns:a16="http://schemas.microsoft.com/office/drawing/2014/main" id="{00000000-0008-0000-0000-0000F8000000}"/>
              </a:ext>
            </a:extLst>
          </xdr:cNvPr>
          <xdr:cNvSpPr txBox="1"/>
        </xdr:nvSpPr>
        <xdr:spPr>
          <a:xfrm>
            <a:off x="2884523" y="3880825"/>
            <a:ext cx="1271401" cy="318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l-PL" sz="1100"/>
              <a:t>Supported beam</a:t>
            </a:r>
            <a:endParaRPr lang="en-GB" sz="1100"/>
          </a:p>
        </xdr:txBody>
      </xdr:sp>
      <xdr:cxnSp macro="">
        <xdr:nvCxnSpPr>
          <xdr:cNvPr id="249" name="Straight Connector 248" hidden="1">
            <a:extLst>
              <a:ext uri="{FF2B5EF4-FFF2-40B4-BE49-F238E27FC236}">
                <a16:creationId xmlns:a16="http://schemas.microsoft.com/office/drawing/2014/main" id="{00000000-0008-0000-0000-0000F9000000}"/>
              </a:ext>
            </a:extLst>
          </xdr:cNvPr>
          <xdr:cNvCxnSpPr>
            <a:stCxn id="248" idx="3"/>
          </xdr:cNvCxnSpPr>
        </xdr:nvCxnSpPr>
        <xdr:spPr>
          <a:xfrm>
            <a:off x="4155924" y="4040074"/>
            <a:ext cx="634211" cy="349748"/>
          </a:xfrm>
          <a:prstGeom prst="line">
            <a:avLst/>
          </a:prstGeom>
          <a:ln w="9525">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AK$19">
        <xdr:nvSpPr>
          <xdr:cNvPr id="250" name="TextBox 249" hidden="1">
            <a:extLst>
              <a:ext uri="{FF2B5EF4-FFF2-40B4-BE49-F238E27FC236}">
                <a16:creationId xmlns:a16="http://schemas.microsoft.com/office/drawing/2014/main" id="{00000000-0008-0000-0000-0000FA000000}"/>
              </a:ext>
            </a:extLst>
          </xdr:cNvPr>
          <xdr:cNvSpPr txBox="1"/>
        </xdr:nvSpPr>
        <xdr:spPr>
          <a:xfrm>
            <a:off x="2332638" y="4237422"/>
            <a:ext cx="1823287" cy="29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30E5170-33FF-405B-A866-BBC5302EA367}" type="TxLink">
              <a:rPr lang="en-US" sz="1100" b="0" i="0" u="none" strike="noStrike">
                <a:solidFill>
                  <a:srgbClr val="000000"/>
                </a:solidFill>
                <a:latin typeface="Calibri"/>
                <a:cs typeface="Calibri"/>
              </a:rPr>
              <a:pPr algn="r"/>
              <a:t>440 x 215 x 215 Spreader</a:t>
            </a:fld>
            <a:endParaRPr lang="en-GB" sz="1100"/>
          </a:p>
        </xdr:txBody>
      </xdr:sp>
      <xdr:cxnSp macro="">
        <xdr:nvCxnSpPr>
          <xdr:cNvPr id="251" name="Straight Connector 250" hidden="1">
            <a:extLst>
              <a:ext uri="{FF2B5EF4-FFF2-40B4-BE49-F238E27FC236}">
                <a16:creationId xmlns:a16="http://schemas.microsoft.com/office/drawing/2014/main" id="{00000000-0008-0000-0000-0000FB000000}"/>
              </a:ext>
            </a:extLst>
          </xdr:cNvPr>
          <xdr:cNvCxnSpPr>
            <a:stCxn id="250" idx="3"/>
            <a:endCxn id="182" idx="3"/>
          </xdr:cNvCxnSpPr>
        </xdr:nvCxnSpPr>
        <xdr:spPr>
          <a:xfrm>
            <a:off x="4155925" y="4385767"/>
            <a:ext cx="521504" cy="587092"/>
          </a:xfrm>
          <a:prstGeom prst="line">
            <a:avLst/>
          </a:prstGeom>
          <a:ln w="9525">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4" name="Straight Connector 253" hidden="1">
            <a:extLst>
              <a:ext uri="{FF2B5EF4-FFF2-40B4-BE49-F238E27FC236}">
                <a16:creationId xmlns:a16="http://schemas.microsoft.com/office/drawing/2014/main" id="{00000000-0008-0000-0000-0000FE000000}"/>
              </a:ext>
            </a:extLst>
          </xdr:cNvPr>
          <xdr:cNvCxnSpPr/>
        </xdr:nvCxnSpPr>
        <xdr:spPr>
          <a:xfrm>
            <a:off x="5466167" y="4553077"/>
            <a:ext cx="666364" cy="39102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5" name="Straight Connector 254" hidden="1">
            <a:extLst>
              <a:ext uri="{FF2B5EF4-FFF2-40B4-BE49-F238E27FC236}">
                <a16:creationId xmlns:a16="http://schemas.microsoft.com/office/drawing/2014/main" id="{00000000-0008-0000-0000-0000FF000000}"/>
              </a:ext>
            </a:extLst>
          </xdr:cNvPr>
          <xdr:cNvCxnSpPr/>
        </xdr:nvCxnSpPr>
        <xdr:spPr>
          <a:xfrm flipV="1">
            <a:off x="5649010" y="4669991"/>
            <a:ext cx="108197"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6" name="Straight Connector 255" hidden="1">
            <a:extLst>
              <a:ext uri="{FF2B5EF4-FFF2-40B4-BE49-F238E27FC236}">
                <a16:creationId xmlns:a16="http://schemas.microsoft.com/office/drawing/2014/main" id="{00000000-0008-0000-0000-000000010000}"/>
              </a:ext>
            </a:extLst>
          </xdr:cNvPr>
          <xdr:cNvCxnSpPr/>
        </xdr:nvCxnSpPr>
        <xdr:spPr>
          <a:xfrm flipV="1">
            <a:off x="5483842" y="4566371"/>
            <a:ext cx="108811" cy="4824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8">
        <xdr:nvSpPr>
          <xdr:cNvPr id="257" name="TextBox 256" hidden="1">
            <a:extLst>
              <a:ext uri="{FF2B5EF4-FFF2-40B4-BE49-F238E27FC236}">
                <a16:creationId xmlns:a16="http://schemas.microsoft.com/office/drawing/2014/main" id="{00000000-0008-0000-0000-000001010000}"/>
              </a:ext>
            </a:extLst>
          </xdr:cNvPr>
          <xdr:cNvSpPr txBox="1"/>
        </xdr:nvSpPr>
        <xdr:spPr>
          <a:xfrm rot="1804375">
            <a:off x="5681804" y="4690872"/>
            <a:ext cx="764927" cy="20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E1A49A5-4FEC-420F-8AE3-0FD891E1DB1F}" type="TxLink">
              <a:rPr lang="en-US" sz="1100" b="0" i="0" u="none" strike="noStrike">
                <a:solidFill>
                  <a:srgbClr val="000000"/>
                </a:solidFill>
                <a:latin typeface="Calibri"/>
                <a:cs typeface="Calibri"/>
              </a:rPr>
              <a:pPr algn="ctr"/>
              <a:t>0</a:t>
            </a:fld>
            <a:endParaRPr lang="en-GB" sz="1100"/>
          </a:p>
        </xdr:txBody>
      </xdr:sp>
    </xdr:grpSp>
    <xdr:clientData/>
  </xdr:twoCellAnchor>
  <xdr:twoCellAnchor editAs="oneCell">
    <xdr:from>
      <xdr:col>16</xdr:col>
      <xdr:colOff>268354</xdr:colOff>
      <xdr:row>19</xdr:row>
      <xdr:rowOff>62592</xdr:rowOff>
    </xdr:from>
    <xdr:to>
      <xdr:col>26</xdr:col>
      <xdr:colOff>206563</xdr:colOff>
      <xdr:row>34</xdr:row>
      <xdr:rowOff>6701</xdr:rowOff>
    </xdr:to>
    <xdr:grpSp>
      <xdr:nvGrpSpPr>
        <xdr:cNvPr id="17" name="Parallel" hidden="1">
          <a:extLst>
            <a:ext uri="{FF2B5EF4-FFF2-40B4-BE49-F238E27FC236}">
              <a16:creationId xmlns:a16="http://schemas.microsoft.com/office/drawing/2014/main" id="{00000000-0008-0000-0000-000011000000}"/>
            </a:ext>
          </a:extLst>
        </xdr:cNvPr>
        <xdr:cNvGrpSpPr/>
      </xdr:nvGrpSpPr>
      <xdr:grpSpPr>
        <a:xfrm>
          <a:off x="4878454" y="4215492"/>
          <a:ext cx="3081459" cy="3087359"/>
          <a:chOff x="563629" y="12711792"/>
          <a:chExt cx="3558046" cy="3087359"/>
        </a:xfrm>
      </xdr:grpSpPr>
      <xdr:sp macro="" textlink="">
        <xdr:nvSpPr>
          <xdr:cNvPr id="101" name="Parallelogram 100" hidden="1">
            <a:extLst>
              <a:ext uri="{FF2B5EF4-FFF2-40B4-BE49-F238E27FC236}">
                <a16:creationId xmlns:a16="http://schemas.microsoft.com/office/drawing/2014/main" id="{00000000-0008-0000-0000-000065000000}"/>
              </a:ext>
            </a:extLst>
          </xdr:cNvPr>
          <xdr:cNvSpPr/>
        </xdr:nvSpPr>
        <xdr:spPr>
          <a:xfrm rot="9385142" flipV="1">
            <a:off x="2402680" y="13676831"/>
            <a:ext cx="670876" cy="224500"/>
          </a:xfrm>
          <a:prstGeom prst="parallelogram">
            <a:avLst>
              <a:gd name="adj" fmla="val 71088"/>
            </a:avLst>
          </a:prstGeom>
          <a:pattFill prst="dashHorz">
            <a:fgClr>
              <a:schemeClr val="bg1">
                <a:lumMod val="85000"/>
              </a:schemeClr>
            </a:fgClr>
            <a:bgClr>
              <a:srgbClr val="FFFFCC"/>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02" name="Straight Connector 101" hidden="1">
            <a:extLst>
              <a:ext uri="{FF2B5EF4-FFF2-40B4-BE49-F238E27FC236}">
                <a16:creationId xmlns:a16="http://schemas.microsoft.com/office/drawing/2014/main" id="{00000000-0008-0000-0000-000066000000}"/>
              </a:ext>
            </a:extLst>
          </xdr:cNvPr>
          <xdr:cNvCxnSpPr/>
        </xdr:nvCxnSpPr>
        <xdr:spPr>
          <a:xfrm>
            <a:off x="2867492" y="13613488"/>
            <a:ext cx="222445" cy="142373"/>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hidden="1">
            <a:extLst>
              <a:ext uri="{FF2B5EF4-FFF2-40B4-BE49-F238E27FC236}">
                <a16:creationId xmlns:a16="http://schemas.microsoft.com/office/drawing/2014/main" id="{00000000-0008-0000-0000-000067000000}"/>
              </a:ext>
            </a:extLst>
          </xdr:cNvPr>
          <xdr:cNvCxnSpPr/>
        </xdr:nvCxnSpPr>
        <xdr:spPr>
          <a:xfrm flipV="1">
            <a:off x="2371101" y="13610050"/>
            <a:ext cx="496391" cy="212255"/>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hidden="1">
            <a:extLst>
              <a:ext uri="{FF2B5EF4-FFF2-40B4-BE49-F238E27FC236}">
                <a16:creationId xmlns:a16="http://schemas.microsoft.com/office/drawing/2014/main" id="{00000000-0008-0000-0000-000068000000}"/>
              </a:ext>
            </a:extLst>
          </xdr:cNvPr>
          <xdr:cNvCxnSpPr/>
        </xdr:nvCxnSpPr>
        <xdr:spPr>
          <a:xfrm>
            <a:off x="2371101" y="13131145"/>
            <a:ext cx="0" cy="6928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5" name="Straight Connector 104" hidden="1">
            <a:extLst>
              <a:ext uri="{FF2B5EF4-FFF2-40B4-BE49-F238E27FC236}">
                <a16:creationId xmlns:a16="http://schemas.microsoft.com/office/drawing/2014/main" id="{00000000-0008-0000-0000-000069000000}"/>
              </a:ext>
            </a:extLst>
          </xdr:cNvPr>
          <xdr:cNvCxnSpPr/>
        </xdr:nvCxnSpPr>
        <xdr:spPr>
          <a:xfrm>
            <a:off x="2616139" y="13273518"/>
            <a:ext cx="0" cy="6928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6" name="Straight Connector 105" hidden="1">
            <a:extLst>
              <a:ext uri="{FF2B5EF4-FFF2-40B4-BE49-F238E27FC236}">
                <a16:creationId xmlns:a16="http://schemas.microsoft.com/office/drawing/2014/main" id="{00000000-0008-0000-0000-00006A000000}"/>
              </a:ext>
            </a:extLst>
          </xdr:cNvPr>
          <xdr:cNvCxnSpPr/>
        </xdr:nvCxnSpPr>
        <xdr:spPr>
          <a:xfrm>
            <a:off x="2371101" y="13131145"/>
            <a:ext cx="245038" cy="1423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Connector 106" hidden="1">
            <a:extLst>
              <a:ext uri="{FF2B5EF4-FFF2-40B4-BE49-F238E27FC236}">
                <a16:creationId xmlns:a16="http://schemas.microsoft.com/office/drawing/2014/main" id="{00000000-0008-0000-0000-00006B000000}"/>
              </a:ext>
            </a:extLst>
          </xdr:cNvPr>
          <xdr:cNvCxnSpPr/>
        </xdr:nvCxnSpPr>
        <xdr:spPr>
          <a:xfrm>
            <a:off x="2371101" y="13822302"/>
            <a:ext cx="245038" cy="14409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hidden="1">
            <a:extLst>
              <a:ext uri="{FF2B5EF4-FFF2-40B4-BE49-F238E27FC236}">
                <a16:creationId xmlns:a16="http://schemas.microsoft.com/office/drawing/2014/main" id="{00000000-0008-0000-0000-00006C000000}"/>
              </a:ext>
            </a:extLst>
          </xdr:cNvPr>
          <xdr:cNvCxnSpPr/>
        </xdr:nvCxnSpPr>
        <xdr:spPr>
          <a:xfrm flipV="1">
            <a:off x="2371101" y="12711792"/>
            <a:ext cx="961303" cy="41935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9" name="Straight Connector 108" hidden="1">
            <a:extLst>
              <a:ext uri="{FF2B5EF4-FFF2-40B4-BE49-F238E27FC236}">
                <a16:creationId xmlns:a16="http://schemas.microsoft.com/office/drawing/2014/main" id="{00000000-0008-0000-0000-00006D000000}"/>
              </a:ext>
            </a:extLst>
          </xdr:cNvPr>
          <xdr:cNvCxnSpPr/>
        </xdr:nvCxnSpPr>
        <xdr:spPr>
          <a:xfrm flipV="1">
            <a:off x="2616139" y="12855891"/>
            <a:ext cx="960446" cy="4176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hidden="1">
            <a:extLst>
              <a:ext uri="{FF2B5EF4-FFF2-40B4-BE49-F238E27FC236}">
                <a16:creationId xmlns:a16="http://schemas.microsoft.com/office/drawing/2014/main" id="{00000000-0008-0000-0000-00006E000000}"/>
              </a:ext>
            </a:extLst>
          </xdr:cNvPr>
          <xdr:cNvCxnSpPr/>
        </xdr:nvCxnSpPr>
        <xdr:spPr>
          <a:xfrm flipV="1">
            <a:off x="2616139" y="13548773"/>
            <a:ext cx="960446" cy="4176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hidden="1">
            <a:extLst>
              <a:ext uri="{FF2B5EF4-FFF2-40B4-BE49-F238E27FC236}">
                <a16:creationId xmlns:a16="http://schemas.microsoft.com/office/drawing/2014/main" id="{00000000-0008-0000-0000-00006F000000}"/>
              </a:ext>
            </a:extLst>
          </xdr:cNvPr>
          <xdr:cNvCxnSpPr/>
        </xdr:nvCxnSpPr>
        <xdr:spPr>
          <a:xfrm>
            <a:off x="3089936" y="13755861"/>
            <a:ext cx="242467" cy="14409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2" name="Straight Connector 111" hidden="1">
            <a:extLst>
              <a:ext uri="{FF2B5EF4-FFF2-40B4-BE49-F238E27FC236}">
                <a16:creationId xmlns:a16="http://schemas.microsoft.com/office/drawing/2014/main" id="{00000000-0008-0000-0000-000070000000}"/>
              </a:ext>
            </a:extLst>
          </xdr:cNvPr>
          <xdr:cNvCxnSpPr/>
        </xdr:nvCxnSpPr>
        <xdr:spPr>
          <a:xfrm flipV="1">
            <a:off x="1296704" y="13899963"/>
            <a:ext cx="2035700" cy="88656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3" name="Straight Connector 112" hidden="1">
            <a:extLst>
              <a:ext uri="{FF2B5EF4-FFF2-40B4-BE49-F238E27FC236}">
                <a16:creationId xmlns:a16="http://schemas.microsoft.com/office/drawing/2014/main" id="{00000000-0008-0000-0000-000071000000}"/>
              </a:ext>
            </a:extLst>
          </xdr:cNvPr>
          <xdr:cNvCxnSpPr/>
        </xdr:nvCxnSpPr>
        <xdr:spPr>
          <a:xfrm flipV="1">
            <a:off x="801754" y="13822303"/>
            <a:ext cx="1569347" cy="68322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hidden="1">
            <a:extLst>
              <a:ext uri="{FF2B5EF4-FFF2-40B4-BE49-F238E27FC236}">
                <a16:creationId xmlns:a16="http://schemas.microsoft.com/office/drawing/2014/main" id="{00000000-0008-0000-0000-000072000000}"/>
              </a:ext>
            </a:extLst>
          </xdr:cNvPr>
          <xdr:cNvCxnSpPr/>
        </xdr:nvCxnSpPr>
        <xdr:spPr>
          <a:xfrm>
            <a:off x="3332404" y="13899961"/>
            <a:ext cx="0" cy="12623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5" name="Freeform: Shape 114" hidden="1">
            <a:extLst>
              <a:ext uri="{FF2B5EF4-FFF2-40B4-BE49-F238E27FC236}">
                <a16:creationId xmlns:a16="http://schemas.microsoft.com/office/drawing/2014/main" id="{00000000-0008-0000-0000-000073000000}"/>
              </a:ext>
            </a:extLst>
          </xdr:cNvPr>
          <xdr:cNvSpPr/>
        </xdr:nvSpPr>
        <xdr:spPr>
          <a:xfrm>
            <a:off x="3539948" y="12849959"/>
            <a:ext cx="70027" cy="704746"/>
          </a:xfrm>
          <a:custGeom>
            <a:avLst/>
            <a:gdLst>
              <a:gd name="connsiteX0" fmla="*/ 79924 w 165391"/>
              <a:gd name="connsiteY0" fmla="*/ 0 h 702469"/>
              <a:gd name="connsiteX1" fmla="*/ 2534 w 165391"/>
              <a:gd name="connsiteY1" fmla="*/ 244078 h 702469"/>
              <a:gd name="connsiteX2" fmla="*/ 163268 w 165391"/>
              <a:gd name="connsiteY2" fmla="*/ 452438 h 702469"/>
              <a:gd name="connsiteX3" fmla="*/ 79924 w 165391"/>
              <a:gd name="connsiteY3" fmla="*/ 702469 h 702469"/>
              <a:gd name="connsiteX0" fmla="*/ 38486 w 123953"/>
              <a:gd name="connsiteY0" fmla="*/ 0 h 702469"/>
              <a:gd name="connsiteX1" fmla="*/ 8721 w 123953"/>
              <a:gd name="connsiteY1" fmla="*/ 225157 h 702469"/>
              <a:gd name="connsiteX2" fmla="*/ 121830 w 123953"/>
              <a:gd name="connsiteY2" fmla="*/ 452438 h 702469"/>
              <a:gd name="connsiteX3" fmla="*/ 38486 w 123953"/>
              <a:gd name="connsiteY3" fmla="*/ 702469 h 702469"/>
              <a:gd name="connsiteX0" fmla="*/ 34321 w 70773"/>
              <a:gd name="connsiteY0" fmla="*/ 0 h 702469"/>
              <a:gd name="connsiteX1" fmla="*/ 4556 w 70773"/>
              <a:gd name="connsiteY1" fmla="*/ 225157 h 702469"/>
              <a:gd name="connsiteX2" fmla="*/ 60515 w 70773"/>
              <a:gd name="connsiteY2" fmla="*/ 471360 h 702469"/>
              <a:gd name="connsiteX3" fmla="*/ 34321 w 70773"/>
              <a:gd name="connsiteY3" fmla="*/ 702469 h 702469"/>
            </a:gdLst>
            <a:ahLst/>
            <a:cxnLst>
              <a:cxn ang="0">
                <a:pos x="connsiteX0" y="connsiteY0"/>
              </a:cxn>
              <a:cxn ang="0">
                <a:pos x="connsiteX1" y="connsiteY1"/>
              </a:cxn>
              <a:cxn ang="0">
                <a:pos x="connsiteX2" y="connsiteY2"/>
              </a:cxn>
              <a:cxn ang="0">
                <a:pos x="connsiteX3" y="connsiteY3"/>
              </a:cxn>
            </a:cxnLst>
            <a:rect l="l" t="t" r="r" b="b"/>
            <a:pathLst>
              <a:path w="70773" h="702469">
                <a:moveTo>
                  <a:pt x="34321" y="0"/>
                </a:moveTo>
                <a:cubicBezTo>
                  <a:pt x="-11320" y="84336"/>
                  <a:pt x="190" y="146597"/>
                  <a:pt x="4556" y="225157"/>
                </a:cubicBezTo>
                <a:cubicBezTo>
                  <a:pt x="8922" y="303717"/>
                  <a:pt x="47617" y="394962"/>
                  <a:pt x="60515" y="471360"/>
                </a:cubicBezTo>
                <a:cubicBezTo>
                  <a:pt x="73413" y="547758"/>
                  <a:pt x="82442" y="615652"/>
                  <a:pt x="34321" y="702469"/>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6" name="Freeform: Shape 115" hidden="1">
            <a:extLst>
              <a:ext uri="{FF2B5EF4-FFF2-40B4-BE49-F238E27FC236}">
                <a16:creationId xmlns:a16="http://schemas.microsoft.com/office/drawing/2014/main" id="{00000000-0008-0000-0000-000074000000}"/>
              </a:ext>
            </a:extLst>
          </xdr:cNvPr>
          <xdr:cNvSpPr/>
        </xdr:nvSpPr>
        <xdr:spPr>
          <a:xfrm>
            <a:off x="1303200" y="14772502"/>
            <a:ext cx="224726" cy="1026649"/>
          </a:xfrm>
          <a:custGeom>
            <a:avLst/>
            <a:gdLst>
              <a:gd name="connsiteX0" fmla="*/ 79924 w 165391"/>
              <a:gd name="connsiteY0" fmla="*/ 0 h 702469"/>
              <a:gd name="connsiteX1" fmla="*/ 2534 w 165391"/>
              <a:gd name="connsiteY1" fmla="*/ 244078 h 702469"/>
              <a:gd name="connsiteX2" fmla="*/ 163268 w 165391"/>
              <a:gd name="connsiteY2" fmla="*/ 452438 h 702469"/>
              <a:gd name="connsiteX3" fmla="*/ 79924 w 165391"/>
              <a:gd name="connsiteY3" fmla="*/ 702469 h 702469"/>
              <a:gd name="connsiteX0" fmla="*/ 79924 w 292941"/>
              <a:gd name="connsiteY0" fmla="*/ 0 h 755654"/>
              <a:gd name="connsiteX1" fmla="*/ 2534 w 292941"/>
              <a:gd name="connsiteY1" fmla="*/ 244078 h 755654"/>
              <a:gd name="connsiteX2" fmla="*/ 163268 w 292941"/>
              <a:gd name="connsiteY2" fmla="*/ 452438 h 755654"/>
              <a:gd name="connsiteX3" fmla="*/ 281770 w 292941"/>
              <a:gd name="connsiteY3" fmla="*/ 755654 h 755654"/>
              <a:gd name="connsiteX0" fmla="*/ 84595 w 309485"/>
              <a:gd name="connsiteY0" fmla="*/ 0 h 755654"/>
              <a:gd name="connsiteX1" fmla="*/ 7205 w 309485"/>
              <a:gd name="connsiteY1" fmla="*/ 244078 h 755654"/>
              <a:gd name="connsiteX2" fmla="*/ 252926 w 309485"/>
              <a:gd name="connsiteY2" fmla="*/ 437933 h 755654"/>
              <a:gd name="connsiteX3" fmla="*/ 286441 w 309485"/>
              <a:gd name="connsiteY3" fmla="*/ 755654 h 755654"/>
              <a:gd name="connsiteX0" fmla="*/ 80717 w 288853"/>
              <a:gd name="connsiteY0" fmla="*/ 0 h 755654"/>
              <a:gd name="connsiteX1" fmla="*/ 3327 w 288853"/>
              <a:gd name="connsiteY1" fmla="*/ 244078 h 755654"/>
              <a:gd name="connsiteX2" fmla="*/ 41891 w 288853"/>
              <a:gd name="connsiteY2" fmla="*/ 573313 h 755654"/>
              <a:gd name="connsiteX3" fmla="*/ 282563 w 288853"/>
              <a:gd name="connsiteY3" fmla="*/ 755654 h 755654"/>
              <a:gd name="connsiteX0" fmla="*/ 41956 w 249623"/>
              <a:gd name="connsiteY0" fmla="*/ 0 h 755654"/>
              <a:gd name="connsiteX1" fmla="*/ 102670 w 249623"/>
              <a:gd name="connsiteY1" fmla="*/ 234408 h 755654"/>
              <a:gd name="connsiteX2" fmla="*/ 3130 w 249623"/>
              <a:gd name="connsiteY2" fmla="*/ 573313 h 755654"/>
              <a:gd name="connsiteX3" fmla="*/ 243802 w 249623"/>
              <a:gd name="connsiteY3" fmla="*/ 755654 h 755654"/>
              <a:gd name="connsiteX0" fmla="*/ 42177 w 255573"/>
              <a:gd name="connsiteY0" fmla="*/ 0 h 927072"/>
              <a:gd name="connsiteX1" fmla="*/ 102891 w 255573"/>
              <a:gd name="connsiteY1" fmla="*/ 234408 h 927072"/>
              <a:gd name="connsiteX2" fmla="*/ 3351 w 255573"/>
              <a:gd name="connsiteY2" fmla="*/ 573313 h 927072"/>
              <a:gd name="connsiteX3" fmla="*/ 249844 w 255573"/>
              <a:gd name="connsiteY3" fmla="*/ 927072 h 927072"/>
              <a:gd name="connsiteX0" fmla="*/ 64079 w 277475"/>
              <a:gd name="connsiteY0" fmla="*/ 0 h 927072"/>
              <a:gd name="connsiteX1" fmla="*/ 2651 w 277475"/>
              <a:gd name="connsiteY1" fmla="*/ 285833 h 927072"/>
              <a:gd name="connsiteX2" fmla="*/ 25253 w 277475"/>
              <a:gd name="connsiteY2" fmla="*/ 573313 h 927072"/>
              <a:gd name="connsiteX3" fmla="*/ 271746 w 277475"/>
              <a:gd name="connsiteY3" fmla="*/ 927072 h 927072"/>
              <a:gd name="connsiteX0" fmla="*/ 67759 w 288253"/>
              <a:gd name="connsiteY0" fmla="*/ 0 h 927072"/>
              <a:gd name="connsiteX1" fmla="*/ 6331 w 288253"/>
              <a:gd name="connsiteY1" fmla="*/ 285833 h 927072"/>
              <a:gd name="connsiteX2" fmla="*/ 198052 w 288253"/>
              <a:gd name="connsiteY2" fmla="*/ 624738 h 927072"/>
              <a:gd name="connsiteX3" fmla="*/ 275426 w 288253"/>
              <a:gd name="connsiteY3" fmla="*/ 927072 h 927072"/>
              <a:gd name="connsiteX0" fmla="*/ 62420 w 277694"/>
              <a:gd name="connsiteY0" fmla="*/ 0 h 927072"/>
              <a:gd name="connsiteX1" fmla="*/ 992 w 277694"/>
              <a:gd name="connsiteY1" fmla="*/ 285833 h 927072"/>
              <a:gd name="connsiteX2" fmla="*/ 98758 w 277694"/>
              <a:gd name="connsiteY2" fmla="*/ 659022 h 927072"/>
              <a:gd name="connsiteX3" fmla="*/ 270087 w 277694"/>
              <a:gd name="connsiteY3" fmla="*/ 927072 h 927072"/>
              <a:gd name="connsiteX0" fmla="*/ 8760 w 224034"/>
              <a:gd name="connsiteY0" fmla="*/ 0 h 927072"/>
              <a:gd name="connsiteX1" fmla="*/ 116451 w 224034"/>
              <a:gd name="connsiteY1" fmla="*/ 285833 h 927072"/>
              <a:gd name="connsiteX2" fmla="*/ 45098 w 224034"/>
              <a:gd name="connsiteY2" fmla="*/ 659022 h 927072"/>
              <a:gd name="connsiteX3" fmla="*/ 216427 w 224034"/>
              <a:gd name="connsiteY3" fmla="*/ 927072 h 927072"/>
            </a:gdLst>
            <a:ahLst/>
            <a:cxnLst>
              <a:cxn ang="0">
                <a:pos x="connsiteX0" y="connsiteY0"/>
              </a:cxn>
              <a:cxn ang="0">
                <a:pos x="connsiteX1" y="connsiteY1"/>
              </a:cxn>
              <a:cxn ang="0">
                <a:pos x="connsiteX2" y="connsiteY2"/>
              </a:cxn>
              <a:cxn ang="0">
                <a:pos x="connsiteX3" y="connsiteY3"/>
              </a:cxn>
            </a:cxnLst>
            <a:rect l="l" t="t" r="r" b="b"/>
            <a:pathLst>
              <a:path w="224034" h="927072">
                <a:moveTo>
                  <a:pt x="8760" y="0"/>
                </a:moveTo>
                <a:cubicBezTo>
                  <a:pt x="-36881" y="84336"/>
                  <a:pt x="110395" y="175996"/>
                  <a:pt x="116451" y="285833"/>
                </a:cubicBezTo>
                <a:cubicBezTo>
                  <a:pt x="122507" y="395670"/>
                  <a:pt x="20606" y="543578"/>
                  <a:pt x="45098" y="659022"/>
                </a:cubicBezTo>
                <a:cubicBezTo>
                  <a:pt x="69590" y="774466"/>
                  <a:pt x="264548" y="840255"/>
                  <a:pt x="216427" y="927072"/>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7" name="Freeform: Shape 116" hidden="1">
            <a:extLst>
              <a:ext uri="{FF2B5EF4-FFF2-40B4-BE49-F238E27FC236}">
                <a16:creationId xmlns:a16="http://schemas.microsoft.com/office/drawing/2014/main" id="{00000000-0008-0000-0000-000075000000}"/>
              </a:ext>
            </a:extLst>
          </xdr:cNvPr>
          <xdr:cNvSpPr/>
        </xdr:nvSpPr>
        <xdr:spPr>
          <a:xfrm>
            <a:off x="3325627" y="12717099"/>
            <a:ext cx="241502" cy="143269"/>
          </a:xfrm>
          <a:custGeom>
            <a:avLst/>
            <a:gdLst>
              <a:gd name="connsiteX0" fmla="*/ 18711 w 259532"/>
              <a:gd name="connsiteY0" fmla="*/ 0 h 143774"/>
              <a:gd name="connsiteX1" fmla="*/ 22306 w 259532"/>
              <a:gd name="connsiteY1" fmla="*/ 93453 h 143774"/>
              <a:gd name="connsiteX2" fmla="*/ 241560 w 259532"/>
              <a:gd name="connsiteY2" fmla="*/ 64698 h 143774"/>
              <a:gd name="connsiteX3" fmla="*/ 259532 w 259532"/>
              <a:gd name="connsiteY3" fmla="*/ 143774 h 143774"/>
              <a:gd name="connsiteX0" fmla="*/ 4669 w 245490"/>
              <a:gd name="connsiteY0" fmla="*/ 0 h 143774"/>
              <a:gd name="connsiteX1" fmla="*/ 56088 w 245490"/>
              <a:gd name="connsiteY1" fmla="*/ 64878 h 143774"/>
              <a:gd name="connsiteX2" fmla="*/ 227518 w 245490"/>
              <a:gd name="connsiteY2" fmla="*/ 64698 h 143774"/>
              <a:gd name="connsiteX3" fmla="*/ 245490 w 245490"/>
              <a:gd name="connsiteY3" fmla="*/ 143774 h 143774"/>
              <a:gd name="connsiteX0" fmla="*/ 4274 w 245095"/>
              <a:gd name="connsiteY0" fmla="*/ 0 h 143774"/>
              <a:gd name="connsiteX1" fmla="*/ 55693 w 245095"/>
              <a:gd name="connsiteY1" fmla="*/ 64878 h 143774"/>
              <a:gd name="connsiteX2" fmla="*/ 198429 w 245095"/>
              <a:gd name="connsiteY2" fmla="*/ 74223 h 143774"/>
              <a:gd name="connsiteX3" fmla="*/ 245095 w 245095"/>
              <a:gd name="connsiteY3" fmla="*/ 143774 h 143774"/>
            </a:gdLst>
            <a:ahLst/>
            <a:cxnLst>
              <a:cxn ang="0">
                <a:pos x="connsiteX0" y="connsiteY0"/>
              </a:cxn>
              <a:cxn ang="0">
                <a:pos x="connsiteX1" y="connsiteY1"/>
              </a:cxn>
              <a:cxn ang="0">
                <a:pos x="connsiteX2" y="connsiteY2"/>
              </a:cxn>
              <a:cxn ang="0">
                <a:pos x="connsiteX3" y="connsiteY3"/>
              </a:cxn>
            </a:cxnLst>
            <a:rect l="l" t="t" r="r" b="b"/>
            <a:pathLst>
              <a:path w="245095" h="143774">
                <a:moveTo>
                  <a:pt x="4274" y="0"/>
                </a:moveTo>
                <a:cubicBezTo>
                  <a:pt x="-12500" y="41335"/>
                  <a:pt x="23334" y="52508"/>
                  <a:pt x="55693" y="64878"/>
                </a:cubicBezTo>
                <a:cubicBezTo>
                  <a:pt x="88052" y="77248"/>
                  <a:pt x="158891" y="65836"/>
                  <a:pt x="198429" y="74223"/>
                </a:cubicBezTo>
                <a:cubicBezTo>
                  <a:pt x="237967" y="82610"/>
                  <a:pt x="222331" y="135387"/>
                  <a:pt x="245095" y="14377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8" name="Freeform: Shape 117" hidden="1">
            <a:extLst>
              <a:ext uri="{FF2B5EF4-FFF2-40B4-BE49-F238E27FC236}">
                <a16:creationId xmlns:a16="http://schemas.microsoft.com/office/drawing/2014/main" id="{00000000-0008-0000-0000-000076000000}"/>
              </a:ext>
            </a:extLst>
          </xdr:cNvPr>
          <xdr:cNvSpPr/>
        </xdr:nvSpPr>
        <xdr:spPr>
          <a:xfrm>
            <a:off x="811009" y="14490777"/>
            <a:ext cx="487103" cy="291895"/>
          </a:xfrm>
          <a:custGeom>
            <a:avLst/>
            <a:gdLst>
              <a:gd name="connsiteX0" fmla="*/ 18711 w 259532"/>
              <a:gd name="connsiteY0" fmla="*/ 0 h 143774"/>
              <a:gd name="connsiteX1" fmla="*/ 22306 w 259532"/>
              <a:gd name="connsiteY1" fmla="*/ 93453 h 143774"/>
              <a:gd name="connsiteX2" fmla="*/ 241560 w 259532"/>
              <a:gd name="connsiteY2" fmla="*/ 64698 h 143774"/>
              <a:gd name="connsiteX3" fmla="*/ 259532 w 259532"/>
              <a:gd name="connsiteY3" fmla="*/ 143774 h 143774"/>
              <a:gd name="connsiteX0" fmla="*/ 4707 w 245528"/>
              <a:gd name="connsiteY0" fmla="*/ 0 h 143774"/>
              <a:gd name="connsiteX1" fmla="*/ 55730 w 245528"/>
              <a:gd name="connsiteY1" fmla="*/ 60727 h 143774"/>
              <a:gd name="connsiteX2" fmla="*/ 227556 w 245528"/>
              <a:gd name="connsiteY2" fmla="*/ 64698 h 143774"/>
              <a:gd name="connsiteX3" fmla="*/ 245528 w 245528"/>
              <a:gd name="connsiteY3" fmla="*/ 143774 h 143774"/>
              <a:gd name="connsiteX0" fmla="*/ 4310 w 245131"/>
              <a:gd name="connsiteY0" fmla="*/ 0 h 143774"/>
              <a:gd name="connsiteX1" fmla="*/ 55333 w 245131"/>
              <a:gd name="connsiteY1" fmla="*/ 60727 h 143774"/>
              <a:gd name="connsiteX2" fmla="*/ 198702 w 245131"/>
              <a:gd name="connsiteY2" fmla="*/ 78723 h 143774"/>
              <a:gd name="connsiteX3" fmla="*/ 245131 w 245131"/>
              <a:gd name="connsiteY3" fmla="*/ 143774 h 143774"/>
            </a:gdLst>
            <a:ahLst/>
            <a:cxnLst>
              <a:cxn ang="0">
                <a:pos x="connsiteX0" y="connsiteY0"/>
              </a:cxn>
              <a:cxn ang="0">
                <a:pos x="connsiteX1" y="connsiteY1"/>
              </a:cxn>
              <a:cxn ang="0">
                <a:pos x="connsiteX2" y="connsiteY2"/>
              </a:cxn>
              <a:cxn ang="0">
                <a:pos x="connsiteX3" y="connsiteY3"/>
              </a:cxn>
            </a:cxnLst>
            <a:rect l="l" t="t" r="r" b="b"/>
            <a:pathLst>
              <a:path w="245131" h="143774">
                <a:moveTo>
                  <a:pt x="4310" y="0"/>
                </a:moveTo>
                <a:cubicBezTo>
                  <a:pt x="-12464" y="41335"/>
                  <a:pt x="22934" y="47607"/>
                  <a:pt x="55333" y="60727"/>
                </a:cubicBezTo>
                <a:cubicBezTo>
                  <a:pt x="87732" y="73848"/>
                  <a:pt x="159164" y="70336"/>
                  <a:pt x="198702" y="78723"/>
                </a:cubicBezTo>
                <a:cubicBezTo>
                  <a:pt x="238240" y="87110"/>
                  <a:pt x="222367" y="135387"/>
                  <a:pt x="245131" y="14377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9" name="Freeform: Shape 118" hidden="1">
            <a:extLst>
              <a:ext uri="{FF2B5EF4-FFF2-40B4-BE49-F238E27FC236}">
                <a16:creationId xmlns:a16="http://schemas.microsoft.com/office/drawing/2014/main" id="{00000000-0008-0000-0000-000077000000}"/>
              </a:ext>
            </a:extLst>
          </xdr:cNvPr>
          <xdr:cNvSpPr/>
        </xdr:nvSpPr>
        <xdr:spPr>
          <a:xfrm rot="21105620">
            <a:off x="1476509" y="15257392"/>
            <a:ext cx="1899240" cy="427454"/>
          </a:xfrm>
          <a:custGeom>
            <a:avLst/>
            <a:gdLst>
              <a:gd name="connsiteX0" fmla="*/ 0 w 1600200"/>
              <a:gd name="connsiteY0" fmla="*/ 448041 h 461704"/>
              <a:gd name="connsiteX1" fmla="*/ 533400 w 1600200"/>
              <a:gd name="connsiteY1" fmla="*/ 409941 h 461704"/>
              <a:gd name="connsiteX2" fmla="*/ 1123950 w 1600200"/>
              <a:gd name="connsiteY2" fmla="*/ 28941 h 461704"/>
              <a:gd name="connsiteX3" fmla="*/ 1600200 w 1600200"/>
              <a:gd name="connsiteY3" fmla="*/ 28941 h 461704"/>
              <a:gd name="connsiteX0" fmla="*/ 0 w 1600200"/>
              <a:gd name="connsiteY0" fmla="*/ 462594 h 635077"/>
              <a:gd name="connsiteX1" fmla="*/ 570838 w 1600200"/>
              <a:gd name="connsiteY1" fmla="*/ 621023 h 635077"/>
              <a:gd name="connsiteX2" fmla="*/ 1123950 w 1600200"/>
              <a:gd name="connsiteY2" fmla="*/ 43494 h 635077"/>
              <a:gd name="connsiteX3" fmla="*/ 1600200 w 1600200"/>
              <a:gd name="connsiteY3" fmla="*/ 43494 h 635077"/>
              <a:gd name="connsiteX0" fmla="*/ 0 w 1586077"/>
              <a:gd name="connsiteY0" fmla="*/ 423581 h 596064"/>
              <a:gd name="connsiteX1" fmla="*/ 570838 w 1586077"/>
              <a:gd name="connsiteY1" fmla="*/ 582010 h 596064"/>
              <a:gd name="connsiteX2" fmla="*/ 1123950 w 1586077"/>
              <a:gd name="connsiteY2" fmla="*/ 4481 h 596064"/>
              <a:gd name="connsiteX3" fmla="*/ 1586077 w 1586077"/>
              <a:gd name="connsiteY3" fmla="*/ 299635 h 596064"/>
              <a:gd name="connsiteX0" fmla="*/ 0 w 1586077"/>
              <a:gd name="connsiteY0" fmla="*/ 190942 h 352804"/>
              <a:gd name="connsiteX1" fmla="*/ 570838 w 1586077"/>
              <a:gd name="connsiteY1" fmla="*/ 349371 h 352804"/>
              <a:gd name="connsiteX2" fmla="*/ 1092518 w 1586077"/>
              <a:gd name="connsiteY2" fmla="*/ 12752 h 352804"/>
              <a:gd name="connsiteX3" fmla="*/ 1586077 w 1586077"/>
              <a:gd name="connsiteY3" fmla="*/ 66996 h 352804"/>
              <a:gd name="connsiteX0" fmla="*/ 0 w 1436418"/>
              <a:gd name="connsiteY0" fmla="*/ 377137 h 392123"/>
              <a:gd name="connsiteX1" fmla="*/ 421179 w 1436418"/>
              <a:gd name="connsiteY1" fmla="*/ 349369 h 392123"/>
              <a:gd name="connsiteX2" fmla="*/ 942859 w 1436418"/>
              <a:gd name="connsiteY2" fmla="*/ 12750 h 392123"/>
              <a:gd name="connsiteX3" fmla="*/ 1436418 w 1436418"/>
              <a:gd name="connsiteY3" fmla="*/ 66994 h 392123"/>
              <a:gd name="connsiteX0" fmla="*/ 0 w 1449891"/>
              <a:gd name="connsiteY0" fmla="*/ 715567 h 716251"/>
              <a:gd name="connsiteX1" fmla="*/ 434652 w 1449891"/>
              <a:gd name="connsiteY1" fmla="*/ 349369 h 716251"/>
              <a:gd name="connsiteX2" fmla="*/ 956332 w 1449891"/>
              <a:gd name="connsiteY2" fmla="*/ 12750 h 716251"/>
              <a:gd name="connsiteX3" fmla="*/ 1449891 w 1449891"/>
              <a:gd name="connsiteY3" fmla="*/ 66994 h 716251"/>
              <a:gd name="connsiteX0" fmla="*/ 0 w 1449891"/>
              <a:gd name="connsiteY0" fmla="*/ 715567 h 715567"/>
              <a:gd name="connsiteX1" fmla="*/ 434652 w 1449891"/>
              <a:gd name="connsiteY1" fmla="*/ 349369 h 715567"/>
              <a:gd name="connsiteX2" fmla="*/ 956332 w 1449891"/>
              <a:gd name="connsiteY2" fmla="*/ 12750 h 715567"/>
              <a:gd name="connsiteX3" fmla="*/ 1449891 w 1449891"/>
              <a:gd name="connsiteY3" fmla="*/ 66994 h 715567"/>
              <a:gd name="connsiteX0" fmla="*/ 0 w 1449891"/>
              <a:gd name="connsiteY0" fmla="*/ 728576 h 728576"/>
              <a:gd name="connsiteX1" fmla="*/ 508998 w 1449891"/>
              <a:gd name="connsiteY1" fmla="*/ 558949 h 728576"/>
              <a:gd name="connsiteX2" fmla="*/ 956332 w 1449891"/>
              <a:gd name="connsiteY2" fmla="*/ 25759 h 728576"/>
              <a:gd name="connsiteX3" fmla="*/ 1449891 w 1449891"/>
              <a:gd name="connsiteY3" fmla="*/ 80003 h 728576"/>
              <a:gd name="connsiteX0" fmla="*/ 0 w 1547393"/>
              <a:gd name="connsiteY0" fmla="*/ 674490 h 674491"/>
              <a:gd name="connsiteX1" fmla="*/ 606500 w 1547393"/>
              <a:gd name="connsiteY1" fmla="*/ 558949 h 674491"/>
              <a:gd name="connsiteX2" fmla="*/ 1053834 w 1547393"/>
              <a:gd name="connsiteY2" fmla="*/ 25759 h 674491"/>
              <a:gd name="connsiteX3" fmla="*/ 1547393 w 1547393"/>
              <a:gd name="connsiteY3" fmla="*/ 80003 h 674491"/>
              <a:gd name="connsiteX0" fmla="*/ 0 w 1547393"/>
              <a:gd name="connsiteY0" fmla="*/ 674490 h 705921"/>
              <a:gd name="connsiteX1" fmla="*/ 606500 w 1547393"/>
              <a:gd name="connsiteY1" fmla="*/ 558949 h 705921"/>
              <a:gd name="connsiteX2" fmla="*/ 1053834 w 1547393"/>
              <a:gd name="connsiteY2" fmla="*/ 25759 h 705921"/>
              <a:gd name="connsiteX3" fmla="*/ 1547393 w 1547393"/>
              <a:gd name="connsiteY3" fmla="*/ 80003 h 705921"/>
              <a:gd name="connsiteX0" fmla="*/ 0 w 1547393"/>
              <a:gd name="connsiteY0" fmla="*/ 674490 h 725354"/>
              <a:gd name="connsiteX1" fmla="*/ 616651 w 1547393"/>
              <a:gd name="connsiteY1" fmla="*/ 630969 h 725354"/>
              <a:gd name="connsiteX2" fmla="*/ 1053834 w 1547393"/>
              <a:gd name="connsiteY2" fmla="*/ 25759 h 725354"/>
              <a:gd name="connsiteX3" fmla="*/ 1547393 w 1547393"/>
              <a:gd name="connsiteY3" fmla="*/ 80003 h 725354"/>
              <a:gd name="connsiteX0" fmla="*/ 0 w 1454838"/>
              <a:gd name="connsiteY0" fmla="*/ 726891 h 764005"/>
              <a:gd name="connsiteX1" fmla="*/ 524096 w 1454838"/>
              <a:gd name="connsiteY1" fmla="*/ 630969 h 764005"/>
              <a:gd name="connsiteX2" fmla="*/ 961279 w 1454838"/>
              <a:gd name="connsiteY2" fmla="*/ 25759 h 764005"/>
              <a:gd name="connsiteX3" fmla="*/ 1454838 w 1454838"/>
              <a:gd name="connsiteY3" fmla="*/ 80003 h 764005"/>
            </a:gdLst>
            <a:ahLst/>
            <a:cxnLst>
              <a:cxn ang="0">
                <a:pos x="connsiteX0" y="connsiteY0"/>
              </a:cxn>
              <a:cxn ang="0">
                <a:pos x="connsiteX1" y="connsiteY1"/>
              </a:cxn>
              <a:cxn ang="0">
                <a:pos x="connsiteX2" y="connsiteY2"/>
              </a:cxn>
              <a:cxn ang="0">
                <a:pos x="connsiteX3" y="connsiteY3"/>
              </a:cxn>
            </a:cxnLst>
            <a:rect l="l" t="t" r="r" b="b"/>
            <a:pathLst>
              <a:path w="1454838" h="764005">
                <a:moveTo>
                  <a:pt x="0" y="726891"/>
                </a:moveTo>
                <a:cubicBezTo>
                  <a:pt x="212802" y="807722"/>
                  <a:pt x="363883" y="747824"/>
                  <a:pt x="524096" y="630969"/>
                </a:cubicBezTo>
                <a:cubicBezTo>
                  <a:pt x="684309" y="514114"/>
                  <a:pt x="804464" y="105583"/>
                  <a:pt x="961279" y="25759"/>
                </a:cubicBezTo>
                <a:cubicBezTo>
                  <a:pt x="1118094" y="-54065"/>
                  <a:pt x="1354826" y="76828"/>
                  <a:pt x="1454838" y="80003"/>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20" name="Straight Connector 119" hidden="1">
            <a:extLst>
              <a:ext uri="{FF2B5EF4-FFF2-40B4-BE49-F238E27FC236}">
                <a16:creationId xmlns:a16="http://schemas.microsoft.com/office/drawing/2014/main" id="{00000000-0008-0000-0000-000078000000}"/>
              </a:ext>
            </a:extLst>
          </xdr:cNvPr>
          <xdr:cNvCxnSpPr/>
        </xdr:nvCxnSpPr>
        <xdr:spPr>
          <a:xfrm>
            <a:off x="1295501" y="14008752"/>
            <a:ext cx="793464" cy="472904"/>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hidden="1">
            <a:extLst>
              <a:ext uri="{FF2B5EF4-FFF2-40B4-BE49-F238E27FC236}">
                <a16:creationId xmlns:a16="http://schemas.microsoft.com/office/drawing/2014/main" id="{00000000-0008-0000-0000-000079000000}"/>
              </a:ext>
            </a:extLst>
          </xdr:cNvPr>
          <xdr:cNvCxnSpPr/>
        </xdr:nvCxnSpPr>
        <xdr:spPr>
          <a:xfrm>
            <a:off x="1819219" y="13757587"/>
            <a:ext cx="602017" cy="355780"/>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hidden="1">
            <a:extLst>
              <a:ext uri="{FF2B5EF4-FFF2-40B4-BE49-F238E27FC236}">
                <a16:creationId xmlns:a16="http://schemas.microsoft.com/office/drawing/2014/main" id="{00000000-0008-0000-0000-00007A000000}"/>
              </a:ext>
            </a:extLst>
          </xdr:cNvPr>
          <xdr:cNvCxnSpPr/>
        </xdr:nvCxnSpPr>
        <xdr:spPr>
          <a:xfrm flipV="1">
            <a:off x="2324369" y="14064028"/>
            <a:ext cx="107056" cy="4807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 name="Straight Connector 122" hidden="1">
            <a:extLst>
              <a:ext uri="{FF2B5EF4-FFF2-40B4-BE49-F238E27FC236}">
                <a16:creationId xmlns:a16="http://schemas.microsoft.com/office/drawing/2014/main" id="{00000000-0008-0000-0000-00007B000000}"/>
              </a:ext>
            </a:extLst>
          </xdr:cNvPr>
          <xdr:cNvCxnSpPr/>
        </xdr:nvCxnSpPr>
        <xdr:spPr>
          <a:xfrm flipV="1">
            <a:off x="1993598" y="14432667"/>
            <a:ext cx="107055" cy="4807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hidden="1">
            <a:extLst>
              <a:ext uri="{FF2B5EF4-FFF2-40B4-BE49-F238E27FC236}">
                <a16:creationId xmlns:a16="http://schemas.microsoft.com/office/drawing/2014/main" id="{00000000-0008-0000-0000-00007C000000}"/>
              </a:ext>
            </a:extLst>
          </xdr:cNvPr>
          <xdr:cNvCxnSpPr/>
        </xdr:nvCxnSpPr>
        <xdr:spPr>
          <a:xfrm flipV="1">
            <a:off x="2569929" y="13352206"/>
            <a:ext cx="574271" cy="257844"/>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 name="Straight Connector 124" hidden="1">
            <a:extLst>
              <a:ext uri="{FF2B5EF4-FFF2-40B4-BE49-F238E27FC236}">
                <a16:creationId xmlns:a16="http://schemas.microsoft.com/office/drawing/2014/main" id="{00000000-0008-0000-0000-00007D000000}"/>
              </a:ext>
            </a:extLst>
          </xdr:cNvPr>
          <xdr:cNvCxnSpPr/>
        </xdr:nvCxnSpPr>
        <xdr:spPr>
          <a:xfrm flipV="1">
            <a:off x="1513772" y="14144941"/>
            <a:ext cx="107663" cy="48684"/>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hidden="1">
            <a:extLst>
              <a:ext uri="{FF2B5EF4-FFF2-40B4-BE49-F238E27FC236}">
                <a16:creationId xmlns:a16="http://schemas.microsoft.com/office/drawing/2014/main" id="{00000000-0008-0000-0000-00007E000000}"/>
              </a:ext>
            </a:extLst>
          </xdr:cNvPr>
          <xdr:cNvCxnSpPr/>
        </xdr:nvCxnSpPr>
        <xdr:spPr>
          <a:xfrm flipV="1">
            <a:off x="2056747" y="13908571"/>
            <a:ext cx="107663" cy="4807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hidden="1">
            <a:extLst>
              <a:ext uri="{FF2B5EF4-FFF2-40B4-BE49-F238E27FC236}">
                <a16:creationId xmlns:a16="http://schemas.microsoft.com/office/drawing/2014/main" id="{00000000-0008-0000-0000-00007F000000}"/>
              </a:ext>
            </a:extLst>
          </xdr:cNvPr>
          <xdr:cNvCxnSpPr/>
        </xdr:nvCxnSpPr>
        <xdr:spPr>
          <a:xfrm>
            <a:off x="2617235" y="13554896"/>
            <a:ext cx="0" cy="7348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 name="Straight Connector 127" hidden="1">
            <a:extLst>
              <a:ext uri="{FF2B5EF4-FFF2-40B4-BE49-F238E27FC236}">
                <a16:creationId xmlns:a16="http://schemas.microsoft.com/office/drawing/2014/main" id="{00000000-0008-0000-0000-000080000000}"/>
              </a:ext>
            </a:extLst>
          </xdr:cNvPr>
          <xdr:cNvCxnSpPr/>
        </xdr:nvCxnSpPr>
        <xdr:spPr>
          <a:xfrm>
            <a:off x="3103055" y="13333223"/>
            <a:ext cx="0" cy="74094"/>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4">
        <xdr:nvSpPr>
          <xdr:cNvPr id="129" name="TextBox 128" hidden="1">
            <a:extLst>
              <a:ext uri="{FF2B5EF4-FFF2-40B4-BE49-F238E27FC236}">
                <a16:creationId xmlns:a16="http://schemas.microsoft.com/office/drawing/2014/main" id="{00000000-0008-0000-0000-000081000000}"/>
              </a:ext>
            </a:extLst>
          </xdr:cNvPr>
          <xdr:cNvSpPr txBox="1"/>
        </xdr:nvSpPr>
        <xdr:spPr>
          <a:xfrm rot="20154566">
            <a:off x="2440648" y="13276938"/>
            <a:ext cx="754853" cy="206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D9DAC4A-377E-444B-AE14-EEC2A3C3201B}" type="TxLink">
              <a:rPr lang="en-US" sz="1100" b="0" i="0" u="none" strike="noStrike">
                <a:solidFill>
                  <a:srgbClr val="000000"/>
                </a:solidFill>
                <a:latin typeface="Calibri"/>
                <a:cs typeface="Calibri"/>
              </a:rPr>
              <a:pPr algn="ctr"/>
              <a:t>150</a:t>
            </a:fld>
            <a:endParaRPr lang="en-GB" sz="1100"/>
          </a:p>
        </xdr:txBody>
      </xdr:sp>
      <xdr:sp macro="" textlink="$AL$13">
        <xdr:nvSpPr>
          <xdr:cNvPr id="130" name="TextBox 129" hidden="1">
            <a:extLst>
              <a:ext uri="{FF2B5EF4-FFF2-40B4-BE49-F238E27FC236}">
                <a16:creationId xmlns:a16="http://schemas.microsoft.com/office/drawing/2014/main" id="{00000000-0008-0000-0000-000082000000}"/>
              </a:ext>
            </a:extLst>
          </xdr:cNvPr>
          <xdr:cNvSpPr txBox="1"/>
        </xdr:nvSpPr>
        <xdr:spPr>
          <a:xfrm rot="1804375">
            <a:off x="1646982" y="13654175"/>
            <a:ext cx="756859" cy="206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C88E987-5A54-4D39-BF06-9C6ED9089DEE}" type="TxLink">
              <a:rPr lang="en-US" sz="1100" b="0" i="0" u="none" strike="noStrike">
                <a:solidFill>
                  <a:srgbClr val="000000"/>
                </a:solidFill>
                <a:latin typeface="Calibri"/>
                <a:cs typeface="Calibri"/>
              </a:rPr>
              <a:pPr algn="ctr"/>
              <a:t>215</a:t>
            </a:fld>
            <a:endParaRPr lang="en-GB" sz="1100"/>
          </a:p>
        </xdr:txBody>
      </xdr:sp>
      <xdr:sp macro="" textlink="$AL$12">
        <xdr:nvSpPr>
          <xdr:cNvPr id="131" name="TextBox 130" hidden="1">
            <a:extLst>
              <a:ext uri="{FF2B5EF4-FFF2-40B4-BE49-F238E27FC236}">
                <a16:creationId xmlns:a16="http://schemas.microsoft.com/office/drawing/2014/main" id="{00000000-0008-0000-0000-000083000000}"/>
              </a:ext>
            </a:extLst>
          </xdr:cNvPr>
          <xdr:cNvSpPr txBox="1"/>
        </xdr:nvSpPr>
        <xdr:spPr>
          <a:xfrm rot="1804375">
            <a:off x="1100360" y="13891079"/>
            <a:ext cx="755656" cy="206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6F50208-0327-4C93-A566-C419F7E48E8D}" type="TxLink">
              <a:rPr lang="en-US" sz="1100" b="0" i="0" u="none" strike="noStrike">
                <a:ln>
                  <a:noFill/>
                </a:ln>
                <a:solidFill>
                  <a:srgbClr val="000000"/>
                </a:solidFill>
                <a:effectLst/>
                <a:latin typeface="Calibri"/>
                <a:cs typeface="Calibri"/>
              </a:rPr>
              <a:pPr algn="ctr"/>
              <a:t>215</a:t>
            </a:fld>
            <a:endParaRPr lang="en-GB" sz="1100">
              <a:ln>
                <a:noFill/>
              </a:ln>
              <a:solidFill>
                <a:schemeClr val="dk1"/>
              </a:solidFill>
              <a:effectLst/>
            </a:endParaRPr>
          </a:p>
        </xdr:txBody>
      </xdr:sp>
      <xdr:sp macro="" textlink="">
        <xdr:nvSpPr>
          <xdr:cNvPr id="252" name="TextBox 251" hidden="1">
            <a:extLst>
              <a:ext uri="{FF2B5EF4-FFF2-40B4-BE49-F238E27FC236}">
                <a16:creationId xmlns:a16="http://schemas.microsoft.com/office/drawing/2014/main" id="{00000000-0008-0000-0000-0000FC000000}"/>
              </a:ext>
            </a:extLst>
          </xdr:cNvPr>
          <xdr:cNvSpPr txBox="1"/>
        </xdr:nvSpPr>
        <xdr:spPr>
          <a:xfrm>
            <a:off x="563629" y="12854667"/>
            <a:ext cx="1271401" cy="318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l-PL" sz="1100"/>
              <a:t>Supported beam</a:t>
            </a:r>
            <a:endParaRPr lang="en-GB" sz="1100"/>
          </a:p>
        </xdr:txBody>
      </xdr:sp>
      <xdr:cxnSp macro="">
        <xdr:nvCxnSpPr>
          <xdr:cNvPr id="253" name="Straight Connector 252" hidden="1">
            <a:extLst>
              <a:ext uri="{FF2B5EF4-FFF2-40B4-BE49-F238E27FC236}">
                <a16:creationId xmlns:a16="http://schemas.microsoft.com/office/drawing/2014/main" id="{00000000-0008-0000-0000-0000FD000000}"/>
              </a:ext>
            </a:extLst>
          </xdr:cNvPr>
          <xdr:cNvCxnSpPr>
            <a:stCxn id="252" idx="3"/>
          </xdr:cNvCxnSpPr>
        </xdr:nvCxnSpPr>
        <xdr:spPr>
          <a:xfrm>
            <a:off x="1835030" y="13013916"/>
            <a:ext cx="622420" cy="349659"/>
          </a:xfrm>
          <a:prstGeom prst="line">
            <a:avLst/>
          </a:prstGeom>
          <a:ln w="9525">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8" name="Straight Connector 257" hidden="1">
            <a:extLst>
              <a:ext uri="{FF2B5EF4-FFF2-40B4-BE49-F238E27FC236}">
                <a16:creationId xmlns:a16="http://schemas.microsoft.com/office/drawing/2014/main" id="{00000000-0008-0000-0000-000002010000}"/>
              </a:ext>
            </a:extLst>
          </xdr:cNvPr>
          <xdr:cNvCxnSpPr/>
        </xdr:nvCxnSpPr>
        <xdr:spPr>
          <a:xfrm>
            <a:off x="3157810" y="13536290"/>
            <a:ext cx="651593" cy="38507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9" name="Straight Connector 258" hidden="1">
            <a:extLst>
              <a:ext uri="{FF2B5EF4-FFF2-40B4-BE49-F238E27FC236}">
                <a16:creationId xmlns:a16="http://schemas.microsoft.com/office/drawing/2014/main" id="{00000000-0008-0000-0000-000003010000}"/>
              </a:ext>
            </a:extLst>
          </xdr:cNvPr>
          <xdr:cNvCxnSpPr/>
        </xdr:nvCxnSpPr>
        <xdr:spPr>
          <a:xfrm flipV="1">
            <a:off x="3321848" y="13635428"/>
            <a:ext cx="107056" cy="4807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2" name="Straight Connector 261" hidden="1">
            <a:extLst>
              <a:ext uri="{FF2B5EF4-FFF2-40B4-BE49-F238E27FC236}">
                <a16:creationId xmlns:a16="http://schemas.microsoft.com/office/drawing/2014/main" id="{00000000-0008-0000-0000-000006010000}"/>
              </a:ext>
            </a:extLst>
          </xdr:cNvPr>
          <xdr:cNvCxnSpPr/>
        </xdr:nvCxnSpPr>
        <xdr:spPr>
          <a:xfrm flipV="1">
            <a:off x="3149315" y="13541880"/>
            <a:ext cx="107663" cy="4807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8">
        <xdr:nvSpPr>
          <xdr:cNvPr id="263" name="TextBox 262" hidden="1">
            <a:extLst>
              <a:ext uri="{FF2B5EF4-FFF2-40B4-BE49-F238E27FC236}">
                <a16:creationId xmlns:a16="http://schemas.microsoft.com/office/drawing/2014/main" id="{00000000-0008-0000-0000-000007010000}"/>
              </a:ext>
            </a:extLst>
          </xdr:cNvPr>
          <xdr:cNvSpPr txBox="1"/>
        </xdr:nvSpPr>
        <xdr:spPr>
          <a:xfrm rot="1804375">
            <a:off x="3364816" y="13667271"/>
            <a:ext cx="756859" cy="206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0A20961-09C7-4909-BA24-B2418598CFC3}" type="TxLink">
              <a:rPr lang="en-US" sz="1100" b="0" i="0" u="none" strike="noStrike">
                <a:solidFill>
                  <a:srgbClr val="000000"/>
                </a:solidFill>
                <a:latin typeface="Calibri"/>
                <a:cs typeface="Calibri"/>
              </a:rPr>
              <a:pPr algn="ctr"/>
              <a:t>0</a:t>
            </a:fld>
            <a:endParaRPr lang="en-GB" sz="1100"/>
          </a:p>
        </xdr:txBody>
      </xdr:sp>
    </xdr:grpSp>
    <xdr:clientData/>
  </xdr:twoCellAnchor>
  <xdr:twoCellAnchor editAs="oneCell">
    <xdr:from>
      <xdr:col>16</xdr:col>
      <xdr:colOff>179738</xdr:colOff>
      <xdr:row>18</xdr:row>
      <xdr:rowOff>204617</xdr:rowOff>
    </xdr:from>
    <xdr:to>
      <xdr:col>26</xdr:col>
      <xdr:colOff>174812</xdr:colOff>
      <xdr:row>33</xdr:row>
      <xdr:rowOff>197204</xdr:rowOff>
    </xdr:to>
    <xdr:grpSp>
      <xdr:nvGrpSpPr>
        <xdr:cNvPr id="18" name="Perpendicular" hidden="1">
          <a:extLst>
            <a:ext uri="{FF2B5EF4-FFF2-40B4-BE49-F238E27FC236}">
              <a16:creationId xmlns:a16="http://schemas.microsoft.com/office/drawing/2014/main" id="{00000000-0008-0000-0000-000012000000}"/>
            </a:ext>
          </a:extLst>
        </xdr:cNvPr>
        <xdr:cNvGrpSpPr/>
      </xdr:nvGrpSpPr>
      <xdr:grpSpPr>
        <a:xfrm>
          <a:off x="4789838" y="4147967"/>
          <a:ext cx="3138324" cy="3135837"/>
          <a:chOff x="3827813" y="11348867"/>
          <a:chExt cx="3614574" cy="3135837"/>
        </a:xfrm>
      </xdr:grpSpPr>
      <xdr:sp macro="" textlink="">
        <xdr:nvSpPr>
          <xdr:cNvPr id="62" name="Parallelogram 61" hidden="1">
            <a:extLst>
              <a:ext uri="{FF2B5EF4-FFF2-40B4-BE49-F238E27FC236}">
                <a16:creationId xmlns:a16="http://schemas.microsoft.com/office/drawing/2014/main" id="{00000000-0008-0000-0000-00003E000000}"/>
              </a:ext>
            </a:extLst>
          </xdr:cNvPr>
          <xdr:cNvSpPr/>
        </xdr:nvSpPr>
        <xdr:spPr>
          <a:xfrm rot="9385142" flipV="1">
            <a:off x="5926876" y="12483108"/>
            <a:ext cx="524003" cy="225288"/>
          </a:xfrm>
          <a:prstGeom prst="parallelogram">
            <a:avLst>
              <a:gd name="adj" fmla="val 71088"/>
            </a:avLst>
          </a:prstGeom>
          <a:pattFill prst="dashHorz">
            <a:fgClr>
              <a:schemeClr val="bg1">
                <a:lumMod val="85000"/>
              </a:schemeClr>
            </a:fgClr>
            <a:bgClr>
              <a:srgbClr val="FFFFCC"/>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63" name="Straight Connector 62" hidden="1">
            <a:extLst>
              <a:ext uri="{FF2B5EF4-FFF2-40B4-BE49-F238E27FC236}">
                <a16:creationId xmlns:a16="http://schemas.microsoft.com/office/drawing/2014/main" id="{00000000-0008-0000-0000-00003F000000}"/>
              </a:ext>
            </a:extLst>
          </xdr:cNvPr>
          <xdr:cNvCxnSpPr/>
        </xdr:nvCxnSpPr>
        <xdr:spPr>
          <a:xfrm flipV="1">
            <a:off x="5921706" y="12347667"/>
            <a:ext cx="549002" cy="234426"/>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hidden="1">
            <a:extLst>
              <a:ext uri="{FF2B5EF4-FFF2-40B4-BE49-F238E27FC236}">
                <a16:creationId xmlns:a16="http://schemas.microsoft.com/office/drawing/2014/main" id="{00000000-0008-0000-0000-000040000000}"/>
              </a:ext>
            </a:extLst>
          </xdr:cNvPr>
          <xdr:cNvCxnSpPr/>
        </xdr:nvCxnSpPr>
        <xdr:spPr>
          <a:xfrm>
            <a:off x="6228577" y="12458193"/>
            <a:ext cx="241370" cy="135187"/>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hidden="1">
            <a:extLst>
              <a:ext uri="{FF2B5EF4-FFF2-40B4-BE49-F238E27FC236}">
                <a16:creationId xmlns:a16="http://schemas.microsoft.com/office/drawing/2014/main" id="{00000000-0008-0000-0000-000041000000}"/>
              </a:ext>
            </a:extLst>
          </xdr:cNvPr>
          <xdr:cNvCxnSpPr/>
        </xdr:nvCxnSpPr>
        <xdr:spPr>
          <a:xfrm>
            <a:off x="6144698" y="12036908"/>
            <a:ext cx="0" cy="69292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hidden="1">
            <a:extLst>
              <a:ext uri="{FF2B5EF4-FFF2-40B4-BE49-F238E27FC236}">
                <a16:creationId xmlns:a16="http://schemas.microsoft.com/office/drawing/2014/main" id="{00000000-0008-0000-0000-000042000000}"/>
              </a:ext>
            </a:extLst>
          </xdr:cNvPr>
          <xdr:cNvCxnSpPr/>
        </xdr:nvCxnSpPr>
        <xdr:spPr>
          <a:xfrm>
            <a:off x="5234751" y="11506906"/>
            <a:ext cx="909948" cy="53000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hidden="1">
            <a:extLst>
              <a:ext uri="{FF2B5EF4-FFF2-40B4-BE49-F238E27FC236}">
                <a16:creationId xmlns:a16="http://schemas.microsoft.com/office/drawing/2014/main" id="{00000000-0008-0000-0000-000043000000}"/>
              </a:ext>
            </a:extLst>
          </xdr:cNvPr>
          <xdr:cNvCxnSpPr/>
        </xdr:nvCxnSpPr>
        <xdr:spPr>
          <a:xfrm>
            <a:off x="5211351" y="12179525"/>
            <a:ext cx="933348" cy="55030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hidden="1">
            <a:extLst>
              <a:ext uri="{FF2B5EF4-FFF2-40B4-BE49-F238E27FC236}">
                <a16:creationId xmlns:a16="http://schemas.microsoft.com/office/drawing/2014/main" id="{00000000-0008-0000-0000-000044000000}"/>
              </a:ext>
            </a:extLst>
          </xdr:cNvPr>
          <xdr:cNvCxnSpPr/>
        </xdr:nvCxnSpPr>
        <xdr:spPr>
          <a:xfrm flipV="1">
            <a:off x="6144698" y="11906166"/>
            <a:ext cx="317053" cy="13074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hidden="1">
            <a:extLst>
              <a:ext uri="{FF2B5EF4-FFF2-40B4-BE49-F238E27FC236}">
                <a16:creationId xmlns:a16="http://schemas.microsoft.com/office/drawing/2014/main" id="{00000000-0008-0000-0000-000045000000}"/>
              </a:ext>
            </a:extLst>
          </xdr:cNvPr>
          <xdr:cNvCxnSpPr/>
        </xdr:nvCxnSpPr>
        <xdr:spPr>
          <a:xfrm flipV="1">
            <a:off x="6144698" y="12587690"/>
            <a:ext cx="325247" cy="14213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hidden="1">
            <a:extLst>
              <a:ext uri="{FF2B5EF4-FFF2-40B4-BE49-F238E27FC236}">
                <a16:creationId xmlns:a16="http://schemas.microsoft.com/office/drawing/2014/main" id="{00000000-0008-0000-0000-000046000000}"/>
              </a:ext>
            </a:extLst>
          </xdr:cNvPr>
          <xdr:cNvCxnSpPr/>
        </xdr:nvCxnSpPr>
        <xdr:spPr>
          <a:xfrm flipV="1">
            <a:off x="5291963" y="12439865"/>
            <a:ext cx="2079196" cy="90889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1" name="Freeform: Shape 70" hidden="1">
            <a:extLst>
              <a:ext uri="{FF2B5EF4-FFF2-40B4-BE49-F238E27FC236}">
                <a16:creationId xmlns:a16="http://schemas.microsoft.com/office/drawing/2014/main" id="{00000000-0008-0000-0000-000047000000}"/>
              </a:ext>
            </a:extLst>
          </xdr:cNvPr>
          <xdr:cNvSpPr/>
        </xdr:nvSpPr>
        <xdr:spPr>
          <a:xfrm>
            <a:off x="6887502" y="12161715"/>
            <a:ext cx="485583" cy="275053"/>
          </a:xfrm>
          <a:custGeom>
            <a:avLst/>
            <a:gdLst>
              <a:gd name="connsiteX0" fmla="*/ 18711 w 259532"/>
              <a:gd name="connsiteY0" fmla="*/ 0 h 143774"/>
              <a:gd name="connsiteX1" fmla="*/ 22306 w 259532"/>
              <a:gd name="connsiteY1" fmla="*/ 93453 h 143774"/>
              <a:gd name="connsiteX2" fmla="*/ 241560 w 259532"/>
              <a:gd name="connsiteY2" fmla="*/ 64698 h 143774"/>
              <a:gd name="connsiteX3" fmla="*/ 259532 w 259532"/>
              <a:gd name="connsiteY3" fmla="*/ 143774 h 143774"/>
              <a:gd name="connsiteX0" fmla="*/ 18711 w 259532"/>
              <a:gd name="connsiteY0" fmla="*/ 0 h 128447"/>
              <a:gd name="connsiteX1" fmla="*/ 22306 w 259532"/>
              <a:gd name="connsiteY1" fmla="*/ 93453 h 128447"/>
              <a:gd name="connsiteX2" fmla="*/ 241560 w 259532"/>
              <a:gd name="connsiteY2" fmla="*/ 64698 h 128447"/>
              <a:gd name="connsiteX3" fmla="*/ 259532 w 259532"/>
              <a:gd name="connsiteY3" fmla="*/ 128447 h 128447"/>
              <a:gd name="connsiteX0" fmla="*/ 18068 w 260148"/>
              <a:gd name="connsiteY0" fmla="*/ 0 h 135471"/>
              <a:gd name="connsiteX1" fmla="*/ 22922 w 260148"/>
              <a:gd name="connsiteY1" fmla="*/ 100477 h 135471"/>
              <a:gd name="connsiteX2" fmla="*/ 242176 w 260148"/>
              <a:gd name="connsiteY2" fmla="*/ 71722 h 135471"/>
              <a:gd name="connsiteX3" fmla="*/ 260148 w 260148"/>
              <a:gd name="connsiteY3" fmla="*/ 135471 h 135471"/>
              <a:gd name="connsiteX0" fmla="*/ 4201 w 246281"/>
              <a:gd name="connsiteY0" fmla="*/ 0 h 135471"/>
              <a:gd name="connsiteX1" fmla="*/ 61193 w 246281"/>
              <a:gd name="connsiteY1" fmla="*/ 72426 h 135471"/>
              <a:gd name="connsiteX2" fmla="*/ 228309 w 246281"/>
              <a:gd name="connsiteY2" fmla="*/ 71722 h 135471"/>
              <a:gd name="connsiteX3" fmla="*/ 246281 w 246281"/>
              <a:gd name="connsiteY3" fmla="*/ 135471 h 135471"/>
              <a:gd name="connsiteX0" fmla="*/ 3825 w 245905"/>
              <a:gd name="connsiteY0" fmla="*/ 0 h 135471"/>
              <a:gd name="connsiteX1" fmla="*/ 60817 w 245905"/>
              <a:gd name="connsiteY1" fmla="*/ 72426 h 135471"/>
              <a:gd name="connsiteX2" fmla="*/ 194755 w 245905"/>
              <a:gd name="connsiteY2" fmla="*/ 90422 h 135471"/>
              <a:gd name="connsiteX3" fmla="*/ 245905 w 245905"/>
              <a:gd name="connsiteY3" fmla="*/ 135471 h 135471"/>
            </a:gdLst>
            <a:ahLst/>
            <a:cxnLst>
              <a:cxn ang="0">
                <a:pos x="connsiteX0" y="connsiteY0"/>
              </a:cxn>
              <a:cxn ang="0">
                <a:pos x="connsiteX1" y="connsiteY1"/>
              </a:cxn>
              <a:cxn ang="0">
                <a:pos x="connsiteX2" y="connsiteY2"/>
              </a:cxn>
              <a:cxn ang="0">
                <a:pos x="connsiteX3" y="connsiteY3"/>
              </a:cxn>
            </a:cxnLst>
            <a:rect l="l" t="t" r="r" b="b"/>
            <a:pathLst>
              <a:path w="245905" h="135471">
                <a:moveTo>
                  <a:pt x="3825" y="0"/>
                </a:moveTo>
                <a:cubicBezTo>
                  <a:pt x="-12949" y="41335"/>
                  <a:pt x="28995" y="57356"/>
                  <a:pt x="60817" y="72426"/>
                </a:cubicBezTo>
                <a:cubicBezTo>
                  <a:pt x="92639" y="87496"/>
                  <a:pt x="155217" y="82035"/>
                  <a:pt x="194755" y="90422"/>
                </a:cubicBezTo>
                <a:cubicBezTo>
                  <a:pt x="234293" y="98809"/>
                  <a:pt x="223141" y="127084"/>
                  <a:pt x="245905" y="135471"/>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2" name="Freeform: Shape 71" hidden="1">
            <a:extLst>
              <a:ext uri="{FF2B5EF4-FFF2-40B4-BE49-F238E27FC236}">
                <a16:creationId xmlns:a16="http://schemas.microsoft.com/office/drawing/2014/main" id="{00000000-0008-0000-0000-000048000000}"/>
              </a:ext>
            </a:extLst>
          </xdr:cNvPr>
          <xdr:cNvSpPr/>
        </xdr:nvSpPr>
        <xdr:spPr>
          <a:xfrm rot="21105620">
            <a:off x="5261409" y="13906846"/>
            <a:ext cx="2180978" cy="417401"/>
          </a:xfrm>
          <a:custGeom>
            <a:avLst/>
            <a:gdLst>
              <a:gd name="connsiteX0" fmla="*/ 0 w 1600200"/>
              <a:gd name="connsiteY0" fmla="*/ 448041 h 461704"/>
              <a:gd name="connsiteX1" fmla="*/ 533400 w 1600200"/>
              <a:gd name="connsiteY1" fmla="*/ 409941 h 461704"/>
              <a:gd name="connsiteX2" fmla="*/ 1123950 w 1600200"/>
              <a:gd name="connsiteY2" fmla="*/ 28941 h 461704"/>
              <a:gd name="connsiteX3" fmla="*/ 1600200 w 1600200"/>
              <a:gd name="connsiteY3" fmla="*/ 28941 h 461704"/>
              <a:gd name="connsiteX0" fmla="*/ 0 w 1600200"/>
              <a:gd name="connsiteY0" fmla="*/ 462594 h 635077"/>
              <a:gd name="connsiteX1" fmla="*/ 570838 w 1600200"/>
              <a:gd name="connsiteY1" fmla="*/ 621023 h 635077"/>
              <a:gd name="connsiteX2" fmla="*/ 1123950 w 1600200"/>
              <a:gd name="connsiteY2" fmla="*/ 43494 h 635077"/>
              <a:gd name="connsiteX3" fmla="*/ 1600200 w 1600200"/>
              <a:gd name="connsiteY3" fmla="*/ 43494 h 635077"/>
              <a:gd name="connsiteX0" fmla="*/ 0 w 1586077"/>
              <a:gd name="connsiteY0" fmla="*/ 423581 h 596064"/>
              <a:gd name="connsiteX1" fmla="*/ 570838 w 1586077"/>
              <a:gd name="connsiteY1" fmla="*/ 582010 h 596064"/>
              <a:gd name="connsiteX2" fmla="*/ 1123950 w 1586077"/>
              <a:gd name="connsiteY2" fmla="*/ 4481 h 596064"/>
              <a:gd name="connsiteX3" fmla="*/ 1586077 w 1586077"/>
              <a:gd name="connsiteY3" fmla="*/ 299635 h 596064"/>
              <a:gd name="connsiteX0" fmla="*/ 0 w 1586077"/>
              <a:gd name="connsiteY0" fmla="*/ 190942 h 352804"/>
              <a:gd name="connsiteX1" fmla="*/ 570838 w 1586077"/>
              <a:gd name="connsiteY1" fmla="*/ 349371 h 352804"/>
              <a:gd name="connsiteX2" fmla="*/ 1092518 w 1586077"/>
              <a:gd name="connsiteY2" fmla="*/ 12752 h 352804"/>
              <a:gd name="connsiteX3" fmla="*/ 1586077 w 1586077"/>
              <a:gd name="connsiteY3" fmla="*/ 66996 h 352804"/>
              <a:gd name="connsiteX0" fmla="*/ 0 w 1436418"/>
              <a:gd name="connsiteY0" fmla="*/ 377137 h 392123"/>
              <a:gd name="connsiteX1" fmla="*/ 421179 w 1436418"/>
              <a:gd name="connsiteY1" fmla="*/ 349369 h 392123"/>
              <a:gd name="connsiteX2" fmla="*/ 942859 w 1436418"/>
              <a:gd name="connsiteY2" fmla="*/ 12750 h 392123"/>
              <a:gd name="connsiteX3" fmla="*/ 1436418 w 1436418"/>
              <a:gd name="connsiteY3" fmla="*/ 66994 h 392123"/>
              <a:gd name="connsiteX0" fmla="*/ 0 w 1449891"/>
              <a:gd name="connsiteY0" fmla="*/ 715567 h 716251"/>
              <a:gd name="connsiteX1" fmla="*/ 434652 w 1449891"/>
              <a:gd name="connsiteY1" fmla="*/ 349369 h 716251"/>
              <a:gd name="connsiteX2" fmla="*/ 956332 w 1449891"/>
              <a:gd name="connsiteY2" fmla="*/ 12750 h 716251"/>
              <a:gd name="connsiteX3" fmla="*/ 1449891 w 1449891"/>
              <a:gd name="connsiteY3" fmla="*/ 66994 h 716251"/>
              <a:gd name="connsiteX0" fmla="*/ 0 w 1449891"/>
              <a:gd name="connsiteY0" fmla="*/ 715567 h 715567"/>
              <a:gd name="connsiteX1" fmla="*/ 434652 w 1449891"/>
              <a:gd name="connsiteY1" fmla="*/ 349369 h 715567"/>
              <a:gd name="connsiteX2" fmla="*/ 956332 w 1449891"/>
              <a:gd name="connsiteY2" fmla="*/ 12750 h 715567"/>
              <a:gd name="connsiteX3" fmla="*/ 1449891 w 1449891"/>
              <a:gd name="connsiteY3" fmla="*/ 66994 h 715567"/>
              <a:gd name="connsiteX0" fmla="*/ 0 w 1449891"/>
              <a:gd name="connsiteY0" fmla="*/ 728576 h 728576"/>
              <a:gd name="connsiteX1" fmla="*/ 508998 w 1449891"/>
              <a:gd name="connsiteY1" fmla="*/ 558949 h 728576"/>
              <a:gd name="connsiteX2" fmla="*/ 956332 w 1449891"/>
              <a:gd name="connsiteY2" fmla="*/ 25759 h 728576"/>
              <a:gd name="connsiteX3" fmla="*/ 1449891 w 1449891"/>
              <a:gd name="connsiteY3" fmla="*/ 80003 h 728576"/>
              <a:gd name="connsiteX0" fmla="*/ 0 w 1347006"/>
              <a:gd name="connsiteY0" fmla="*/ 746314 h 746314"/>
              <a:gd name="connsiteX1" fmla="*/ 508998 w 1347006"/>
              <a:gd name="connsiteY1" fmla="*/ 576687 h 746314"/>
              <a:gd name="connsiteX2" fmla="*/ 956332 w 1347006"/>
              <a:gd name="connsiteY2" fmla="*/ 43497 h 746314"/>
              <a:gd name="connsiteX3" fmla="*/ 1347006 w 1347006"/>
              <a:gd name="connsiteY3" fmla="*/ 20697 h 746314"/>
              <a:gd name="connsiteX0" fmla="*/ 0 w 1347491"/>
              <a:gd name="connsiteY0" fmla="*/ 750323 h 750323"/>
              <a:gd name="connsiteX1" fmla="*/ 508998 w 1347491"/>
              <a:gd name="connsiteY1" fmla="*/ 580696 h 750323"/>
              <a:gd name="connsiteX2" fmla="*/ 956332 w 1347491"/>
              <a:gd name="connsiteY2" fmla="*/ 47506 h 750323"/>
              <a:gd name="connsiteX3" fmla="*/ 1347491 w 1347491"/>
              <a:gd name="connsiteY3" fmla="*/ 15039 h 750323"/>
              <a:gd name="connsiteX0" fmla="*/ 0 w 1369695"/>
              <a:gd name="connsiteY0" fmla="*/ 715104 h 715104"/>
              <a:gd name="connsiteX1" fmla="*/ 508998 w 1369695"/>
              <a:gd name="connsiteY1" fmla="*/ 545477 h 715104"/>
              <a:gd name="connsiteX2" fmla="*/ 956332 w 1369695"/>
              <a:gd name="connsiteY2" fmla="*/ 12287 h 715104"/>
              <a:gd name="connsiteX3" fmla="*/ 1369695 w 1369695"/>
              <a:gd name="connsiteY3" fmla="*/ 270760 h 715104"/>
              <a:gd name="connsiteX0" fmla="*/ 0 w 1347413"/>
              <a:gd name="connsiteY0" fmla="*/ 749487 h 749487"/>
              <a:gd name="connsiteX1" fmla="*/ 508998 w 1347413"/>
              <a:gd name="connsiteY1" fmla="*/ 579860 h 749487"/>
              <a:gd name="connsiteX2" fmla="*/ 956332 w 1347413"/>
              <a:gd name="connsiteY2" fmla="*/ 46670 h 749487"/>
              <a:gd name="connsiteX3" fmla="*/ 1347413 w 1347413"/>
              <a:gd name="connsiteY3" fmla="*/ 16088 h 749487"/>
              <a:gd name="connsiteX0" fmla="*/ 0 w 1382886"/>
              <a:gd name="connsiteY0" fmla="*/ 741009 h 741009"/>
              <a:gd name="connsiteX1" fmla="*/ 508998 w 1382886"/>
              <a:gd name="connsiteY1" fmla="*/ 571382 h 741009"/>
              <a:gd name="connsiteX2" fmla="*/ 956332 w 1382886"/>
              <a:gd name="connsiteY2" fmla="*/ 38192 h 741009"/>
              <a:gd name="connsiteX3" fmla="*/ 1382886 w 1382886"/>
              <a:gd name="connsiteY3" fmla="*/ 31118 h 741009"/>
              <a:gd name="connsiteX0" fmla="*/ 0 w 1367100"/>
              <a:gd name="connsiteY0" fmla="*/ 744895 h 744895"/>
              <a:gd name="connsiteX1" fmla="*/ 508998 w 1367100"/>
              <a:gd name="connsiteY1" fmla="*/ 575268 h 744895"/>
              <a:gd name="connsiteX2" fmla="*/ 956332 w 1367100"/>
              <a:gd name="connsiteY2" fmla="*/ 42078 h 744895"/>
              <a:gd name="connsiteX3" fmla="*/ 1367100 w 1367100"/>
              <a:gd name="connsiteY3" fmla="*/ 23107 h 744895"/>
              <a:gd name="connsiteX0" fmla="*/ 0 w 1359969"/>
              <a:gd name="connsiteY0" fmla="*/ 745996 h 745996"/>
              <a:gd name="connsiteX1" fmla="*/ 508998 w 1359969"/>
              <a:gd name="connsiteY1" fmla="*/ 576369 h 745996"/>
              <a:gd name="connsiteX2" fmla="*/ 956332 w 1359969"/>
              <a:gd name="connsiteY2" fmla="*/ 43179 h 745996"/>
              <a:gd name="connsiteX3" fmla="*/ 1359969 w 1359969"/>
              <a:gd name="connsiteY3" fmla="*/ 21216 h 745996"/>
            </a:gdLst>
            <a:ahLst/>
            <a:cxnLst>
              <a:cxn ang="0">
                <a:pos x="connsiteX0" y="connsiteY0"/>
              </a:cxn>
              <a:cxn ang="0">
                <a:pos x="connsiteX1" y="connsiteY1"/>
              </a:cxn>
              <a:cxn ang="0">
                <a:pos x="connsiteX2" y="connsiteY2"/>
              </a:cxn>
              <a:cxn ang="0">
                <a:pos x="connsiteX3" y="connsiteY3"/>
              </a:cxn>
            </a:cxnLst>
            <a:rect l="l" t="t" r="r" b="b"/>
            <a:pathLst>
              <a:path w="1359969" h="745996">
                <a:moveTo>
                  <a:pt x="0" y="745996"/>
                </a:moveTo>
                <a:cubicBezTo>
                  <a:pt x="147757" y="461862"/>
                  <a:pt x="349609" y="693505"/>
                  <a:pt x="508998" y="576369"/>
                </a:cubicBezTo>
                <a:cubicBezTo>
                  <a:pt x="668387" y="459233"/>
                  <a:pt x="799517" y="123003"/>
                  <a:pt x="956332" y="43179"/>
                </a:cubicBezTo>
                <a:cubicBezTo>
                  <a:pt x="1113147" y="-36645"/>
                  <a:pt x="1259957" y="18041"/>
                  <a:pt x="1359969" y="21216"/>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3" name="Straight Connector 72" hidden="1">
            <a:extLst>
              <a:ext uri="{FF2B5EF4-FFF2-40B4-BE49-F238E27FC236}">
                <a16:creationId xmlns:a16="http://schemas.microsoft.com/office/drawing/2014/main" id="{00000000-0008-0000-0000-000049000000}"/>
              </a:ext>
            </a:extLst>
          </xdr:cNvPr>
          <xdr:cNvCxnSpPr/>
        </xdr:nvCxnSpPr>
        <xdr:spPr>
          <a:xfrm>
            <a:off x="4297515" y="13008720"/>
            <a:ext cx="791250" cy="472929"/>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hidden="1">
            <a:extLst>
              <a:ext uri="{FF2B5EF4-FFF2-40B4-BE49-F238E27FC236}">
                <a16:creationId xmlns:a16="http://schemas.microsoft.com/office/drawing/2014/main" id="{00000000-0008-0000-0000-00004A000000}"/>
              </a:ext>
            </a:extLst>
          </xdr:cNvPr>
          <xdr:cNvCxnSpPr/>
        </xdr:nvCxnSpPr>
        <xdr:spPr>
          <a:xfrm>
            <a:off x="5739292" y="12365655"/>
            <a:ext cx="570051" cy="337824"/>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hidden="1">
            <a:extLst>
              <a:ext uri="{FF2B5EF4-FFF2-40B4-BE49-F238E27FC236}">
                <a16:creationId xmlns:a16="http://schemas.microsoft.com/office/drawing/2014/main" id="{00000000-0008-0000-0000-00004B000000}"/>
              </a:ext>
            </a:extLst>
          </xdr:cNvPr>
          <xdr:cNvCxnSpPr/>
        </xdr:nvCxnSpPr>
        <xdr:spPr>
          <a:xfrm flipV="1">
            <a:off x="6208956" y="12657510"/>
            <a:ext cx="106143" cy="48075"/>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hidden="1">
            <a:extLst>
              <a:ext uri="{FF2B5EF4-FFF2-40B4-BE49-F238E27FC236}">
                <a16:creationId xmlns:a16="http://schemas.microsoft.com/office/drawing/2014/main" id="{00000000-0008-0000-0000-00004C000000}"/>
              </a:ext>
            </a:extLst>
          </xdr:cNvPr>
          <xdr:cNvCxnSpPr/>
        </xdr:nvCxnSpPr>
        <xdr:spPr>
          <a:xfrm flipV="1">
            <a:off x="5010862" y="13432659"/>
            <a:ext cx="106142" cy="48075"/>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hidden="1">
            <a:extLst>
              <a:ext uri="{FF2B5EF4-FFF2-40B4-BE49-F238E27FC236}">
                <a16:creationId xmlns:a16="http://schemas.microsoft.com/office/drawing/2014/main" id="{00000000-0008-0000-0000-00004D000000}"/>
              </a:ext>
            </a:extLst>
          </xdr:cNvPr>
          <xdr:cNvCxnSpPr/>
        </xdr:nvCxnSpPr>
        <xdr:spPr>
          <a:xfrm flipV="1">
            <a:off x="6095992" y="12153865"/>
            <a:ext cx="402852" cy="181071"/>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hidden="1">
            <a:extLst>
              <a:ext uri="{FF2B5EF4-FFF2-40B4-BE49-F238E27FC236}">
                <a16:creationId xmlns:a16="http://schemas.microsoft.com/office/drawing/2014/main" id="{00000000-0008-0000-0000-00004E000000}"/>
              </a:ext>
            </a:extLst>
          </xdr:cNvPr>
          <xdr:cNvCxnSpPr/>
        </xdr:nvCxnSpPr>
        <xdr:spPr>
          <a:xfrm flipV="1">
            <a:off x="4515096" y="13144916"/>
            <a:ext cx="106746" cy="48687"/>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hidden="1">
            <a:extLst>
              <a:ext uri="{FF2B5EF4-FFF2-40B4-BE49-F238E27FC236}">
                <a16:creationId xmlns:a16="http://schemas.microsoft.com/office/drawing/2014/main" id="{00000000-0008-0000-0000-00004F000000}"/>
              </a:ext>
            </a:extLst>
          </xdr:cNvPr>
          <xdr:cNvCxnSpPr/>
        </xdr:nvCxnSpPr>
        <xdr:spPr>
          <a:xfrm flipV="1">
            <a:off x="5975966" y="12516648"/>
            <a:ext cx="106746" cy="48075"/>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hidden="1">
            <a:extLst>
              <a:ext uri="{FF2B5EF4-FFF2-40B4-BE49-F238E27FC236}">
                <a16:creationId xmlns:a16="http://schemas.microsoft.com/office/drawing/2014/main" id="{00000000-0008-0000-0000-000050000000}"/>
              </a:ext>
            </a:extLst>
          </xdr:cNvPr>
          <xdr:cNvCxnSpPr/>
        </xdr:nvCxnSpPr>
        <xdr:spPr>
          <a:xfrm>
            <a:off x="6145104" y="12279779"/>
            <a:ext cx="0" cy="73486"/>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3">
        <xdr:nvSpPr>
          <xdr:cNvPr id="81" name="TextBox 80" hidden="1">
            <a:extLst>
              <a:ext uri="{FF2B5EF4-FFF2-40B4-BE49-F238E27FC236}">
                <a16:creationId xmlns:a16="http://schemas.microsoft.com/office/drawing/2014/main" id="{00000000-0008-0000-0000-000051000000}"/>
              </a:ext>
            </a:extLst>
          </xdr:cNvPr>
          <xdr:cNvSpPr txBox="1"/>
        </xdr:nvSpPr>
        <xdr:spPr>
          <a:xfrm rot="20154566">
            <a:off x="5930603" y="12040996"/>
            <a:ext cx="751797" cy="20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5F8A686-AED7-4D2D-B7A7-D003E59D212A}" type="TxLink">
              <a:rPr lang="en-US" sz="1100" b="0" i="0" u="none" strike="noStrike">
                <a:solidFill>
                  <a:srgbClr val="000000"/>
                </a:solidFill>
                <a:latin typeface="Calibri"/>
                <a:cs typeface="Calibri"/>
              </a:rPr>
              <a:pPr algn="ctr"/>
              <a:t>215</a:t>
            </a:fld>
            <a:endParaRPr lang="en-GB" sz="1100"/>
          </a:p>
        </xdr:txBody>
      </xdr:sp>
      <xdr:sp macro="" textlink="$AL$14">
        <xdr:nvSpPr>
          <xdr:cNvPr id="82" name="TextBox 81" hidden="1">
            <a:extLst>
              <a:ext uri="{FF2B5EF4-FFF2-40B4-BE49-F238E27FC236}">
                <a16:creationId xmlns:a16="http://schemas.microsoft.com/office/drawing/2014/main" id="{00000000-0008-0000-0000-000052000000}"/>
              </a:ext>
            </a:extLst>
          </xdr:cNvPr>
          <xdr:cNvSpPr txBox="1"/>
        </xdr:nvSpPr>
        <xdr:spPr>
          <a:xfrm rot="1804375">
            <a:off x="5568523" y="12262238"/>
            <a:ext cx="753786" cy="20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742555A-818B-4E9A-B2AF-546933E3B98E}" type="TxLink">
              <a:rPr lang="en-US" sz="1100" b="0" i="0" u="none" strike="noStrike">
                <a:solidFill>
                  <a:srgbClr val="000000"/>
                </a:solidFill>
                <a:latin typeface="Calibri"/>
                <a:cs typeface="Calibri"/>
              </a:rPr>
              <a:pPr algn="ctr"/>
              <a:t>150</a:t>
            </a:fld>
            <a:endParaRPr lang="en-GB" sz="1100"/>
          </a:p>
        </xdr:txBody>
      </xdr:sp>
      <xdr:sp macro="" textlink="$AL$12">
        <xdr:nvSpPr>
          <xdr:cNvPr id="83" name="TextBox 82" hidden="1">
            <a:extLst>
              <a:ext uri="{FF2B5EF4-FFF2-40B4-BE49-F238E27FC236}">
                <a16:creationId xmlns:a16="http://schemas.microsoft.com/office/drawing/2014/main" id="{00000000-0008-0000-0000-000053000000}"/>
              </a:ext>
            </a:extLst>
          </xdr:cNvPr>
          <xdr:cNvSpPr txBox="1"/>
        </xdr:nvSpPr>
        <xdr:spPr>
          <a:xfrm rot="1804375">
            <a:off x="4104038" y="12891041"/>
            <a:ext cx="752594" cy="20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D80A1C6-BD9D-4617-9C78-CA5F86E05433}" type="TxLink">
              <a:rPr lang="en-US" sz="1100" b="0" i="0" u="none" strike="noStrike">
                <a:ln>
                  <a:noFill/>
                </a:ln>
                <a:solidFill>
                  <a:srgbClr val="000000"/>
                </a:solidFill>
                <a:effectLst/>
                <a:latin typeface="Calibri"/>
                <a:cs typeface="Calibri"/>
              </a:rPr>
              <a:pPr algn="ctr"/>
              <a:t>215</a:t>
            </a:fld>
            <a:endParaRPr lang="en-GB" sz="1100">
              <a:ln>
                <a:noFill/>
              </a:ln>
              <a:solidFill>
                <a:schemeClr val="dk1"/>
              </a:solidFill>
              <a:effectLst/>
            </a:endParaRPr>
          </a:p>
        </xdr:txBody>
      </xdr:sp>
      <xdr:cxnSp macro="">
        <xdr:nvCxnSpPr>
          <xdr:cNvPr id="84" name="Straight Connector 83" hidden="1">
            <a:extLst>
              <a:ext uri="{FF2B5EF4-FFF2-40B4-BE49-F238E27FC236}">
                <a16:creationId xmlns:a16="http://schemas.microsoft.com/office/drawing/2014/main" id="{00000000-0008-0000-0000-000054000000}"/>
              </a:ext>
            </a:extLst>
          </xdr:cNvPr>
          <xdr:cNvCxnSpPr>
            <a:endCxn id="72" idx="0"/>
          </xdr:cNvCxnSpPr>
        </xdr:nvCxnSpPr>
        <xdr:spPr>
          <a:xfrm>
            <a:off x="5296110" y="13348751"/>
            <a:ext cx="6015" cy="113135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hidden="1">
            <a:extLst>
              <a:ext uri="{FF2B5EF4-FFF2-40B4-BE49-F238E27FC236}">
                <a16:creationId xmlns:a16="http://schemas.microsoft.com/office/drawing/2014/main" id="{00000000-0008-0000-0000-000055000000}"/>
              </a:ext>
            </a:extLst>
          </xdr:cNvPr>
          <xdr:cNvCxnSpPr/>
        </xdr:nvCxnSpPr>
        <xdr:spPr>
          <a:xfrm>
            <a:off x="4822929" y="13067253"/>
            <a:ext cx="469034" cy="28149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hidden="1">
            <a:extLst>
              <a:ext uri="{FF2B5EF4-FFF2-40B4-BE49-F238E27FC236}">
                <a16:creationId xmlns:a16="http://schemas.microsoft.com/office/drawing/2014/main" id="{00000000-0008-0000-0000-000056000000}"/>
              </a:ext>
            </a:extLst>
          </xdr:cNvPr>
          <xdr:cNvCxnSpPr/>
        </xdr:nvCxnSpPr>
        <xdr:spPr>
          <a:xfrm>
            <a:off x="4822763" y="13062262"/>
            <a:ext cx="0" cy="113851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7" name="Freeform: Shape 86" hidden="1">
            <a:extLst>
              <a:ext uri="{FF2B5EF4-FFF2-40B4-BE49-F238E27FC236}">
                <a16:creationId xmlns:a16="http://schemas.microsoft.com/office/drawing/2014/main" id="{00000000-0008-0000-0000-000057000000}"/>
              </a:ext>
            </a:extLst>
          </xdr:cNvPr>
          <xdr:cNvSpPr/>
        </xdr:nvSpPr>
        <xdr:spPr>
          <a:xfrm>
            <a:off x="4821080" y="14184246"/>
            <a:ext cx="474996" cy="300458"/>
          </a:xfrm>
          <a:custGeom>
            <a:avLst/>
            <a:gdLst>
              <a:gd name="connsiteX0" fmla="*/ 0 w 482203"/>
              <a:gd name="connsiteY0" fmla="*/ 40135 h 353075"/>
              <a:gd name="connsiteX1" fmla="*/ 190500 w 482203"/>
              <a:gd name="connsiteY1" fmla="*/ 16323 h 353075"/>
              <a:gd name="connsiteX2" fmla="*/ 339328 w 482203"/>
              <a:gd name="connsiteY2" fmla="*/ 254448 h 353075"/>
              <a:gd name="connsiteX3" fmla="*/ 482203 w 482203"/>
              <a:gd name="connsiteY3" fmla="*/ 343744 h 353075"/>
              <a:gd name="connsiteX0" fmla="*/ 0 w 482203"/>
              <a:gd name="connsiteY0" fmla="*/ 61266 h 346174"/>
              <a:gd name="connsiteX1" fmla="*/ 190500 w 482203"/>
              <a:gd name="connsiteY1" fmla="*/ 9422 h 346174"/>
              <a:gd name="connsiteX2" fmla="*/ 339328 w 482203"/>
              <a:gd name="connsiteY2" fmla="*/ 247547 h 346174"/>
              <a:gd name="connsiteX3" fmla="*/ 482203 w 482203"/>
              <a:gd name="connsiteY3" fmla="*/ 336843 h 346174"/>
              <a:gd name="connsiteX0" fmla="*/ 0 w 482203"/>
              <a:gd name="connsiteY0" fmla="*/ 16593 h 301501"/>
              <a:gd name="connsiteX1" fmla="*/ 190500 w 482203"/>
              <a:gd name="connsiteY1" fmla="*/ 31424 h 301501"/>
              <a:gd name="connsiteX2" fmla="*/ 339328 w 482203"/>
              <a:gd name="connsiteY2" fmla="*/ 202874 h 301501"/>
              <a:gd name="connsiteX3" fmla="*/ 482203 w 482203"/>
              <a:gd name="connsiteY3" fmla="*/ 292170 h 301501"/>
            </a:gdLst>
            <a:ahLst/>
            <a:cxnLst>
              <a:cxn ang="0">
                <a:pos x="connsiteX0" y="connsiteY0"/>
              </a:cxn>
              <a:cxn ang="0">
                <a:pos x="connsiteX1" y="connsiteY1"/>
              </a:cxn>
              <a:cxn ang="0">
                <a:pos x="connsiteX2" y="connsiteY2"/>
              </a:cxn>
              <a:cxn ang="0">
                <a:pos x="connsiteX3" y="connsiteY3"/>
              </a:cxn>
            </a:cxnLst>
            <a:rect l="l" t="t" r="r" b="b"/>
            <a:pathLst>
              <a:path w="482203" h="301501">
                <a:moveTo>
                  <a:pt x="0" y="16593"/>
                </a:moveTo>
                <a:cubicBezTo>
                  <a:pt x="66972" y="-13173"/>
                  <a:pt x="133945" y="377"/>
                  <a:pt x="190500" y="31424"/>
                </a:cubicBezTo>
                <a:cubicBezTo>
                  <a:pt x="247055" y="62471"/>
                  <a:pt x="290711" y="148304"/>
                  <a:pt x="339328" y="202874"/>
                </a:cubicBezTo>
                <a:cubicBezTo>
                  <a:pt x="387945" y="257444"/>
                  <a:pt x="430609" y="326897"/>
                  <a:pt x="482203" y="292170"/>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8" name="Straight Connector 87" hidden="1">
            <a:extLst>
              <a:ext uri="{FF2B5EF4-FFF2-40B4-BE49-F238E27FC236}">
                <a16:creationId xmlns:a16="http://schemas.microsoft.com/office/drawing/2014/main" id="{00000000-0008-0000-0000-000058000000}"/>
              </a:ext>
            </a:extLst>
          </xdr:cNvPr>
          <xdr:cNvCxnSpPr/>
        </xdr:nvCxnSpPr>
        <xdr:spPr>
          <a:xfrm>
            <a:off x="6461752" y="11900463"/>
            <a:ext cx="0" cy="69292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hidden="1">
            <a:extLst>
              <a:ext uri="{FF2B5EF4-FFF2-40B4-BE49-F238E27FC236}">
                <a16:creationId xmlns:a16="http://schemas.microsoft.com/office/drawing/2014/main" id="{00000000-0008-0000-0000-000059000000}"/>
              </a:ext>
            </a:extLst>
          </xdr:cNvPr>
          <xdr:cNvCxnSpPr/>
        </xdr:nvCxnSpPr>
        <xdr:spPr>
          <a:xfrm>
            <a:off x="5561038" y="11376167"/>
            <a:ext cx="908908" cy="53000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0" name="Freeform: Shape 89" hidden="1">
            <a:extLst>
              <a:ext uri="{FF2B5EF4-FFF2-40B4-BE49-F238E27FC236}">
                <a16:creationId xmlns:a16="http://schemas.microsoft.com/office/drawing/2014/main" id="{00000000-0008-0000-0000-00005A000000}"/>
              </a:ext>
            </a:extLst>
          </xdr:cNvPr>
          <xdr:cNvSpPr/>
        </xdr:nvSpPr>
        <xdr:spPr>
          <a:xfrm>
            <a:off x="7335783" y="12436774"/>
            <a:ext cx="82694" cy="1328887"/>
          </a:xfrm>
          <a:custGeom>
            <a:avLst/>
            <a:gdLst>
              <a:gd name="connsiteX0" fmla="*/ 4389 w 190562"/>
              <a:gd name="connsiteY0" fmla="*/ 0 h 1333500"/>
              <a:gd name="connsiteX1" fmla="*/ 190560 w 190562"/>
              <a:gd name="connsiteY1" fmla="*/ 515216 h 1333500"/>
              <a:gd name="connsiteX2" fmla="*/ 8719 w 190562"/>
              <a:gd name="connsiteY2" fmla="*/ 1078057 h 1333500"/>
              <a:gd name="connsiteX3" fmla="*/ 17378 w 190562"/>
              <a:gd name="connsiteY3" fmla="*/ 1333500 h 1333500"/>
              <a:gd name="connsiteX0" fmla="*/ 0 w 202461"/>
              <a:gd name="connsiteY0" fmla="*/ 0 h 1333500"/>
              <a:gd name="connsiteX1" fmla="*/ 202406 w 202461"/>
              <a:gd name="connsiteY1" fmla="*/ 515216 h 1333500"/>
              <a:gd name="connsiteX2" fmla="*/ 20565 w 202461"/>
              <a:gd name="connsiteY2" fmla="*/ 1078057 h 1333500"/>
              <a:gd name="connsiteX3" fmla="*/ 29224 w 202461"/>
              <a:gd name="connsiteY3" fmla="*/ 1333500 h 1333500"/>
              <a:gd name="connsiteX0" fmla="*/ 92915 w 131817"/>
              <a:gd name="connsiteY0" fmla="*/ 0 h 1333500"/>
              <a:gd name="connsiteX1" fmla="*/ 46 w 131817"/>
              <a:gd name="connsiteY1" fmla="*/ 562841 h 1333500"/>
              <a:gd name="connsiteX2" fmla="*/ 113480 w 131817"/>
              <a:gd name="connsiteY2" fmla="*/ 1078057 h 1333500"/>
              <a:gd name="connsiteX3" fmla="*/ 122139 w 131817"/>
              <a:gd name="connsiteY3" fmla="*/ 1333500 h 1333500"/>
              <a:gd name="connsiteX0" fmla="*/ 93692 w 188615"/>
              <a:gd name="connsiteY0" fmla="*/ 0 h 1333500"/>
              <a:gd name="connsiteX1" fmla="*/ 823 w 188615"/>
              <a:gd name="connsiteY1" fmla="*/ 562841 h 1333500"/>
              <a:gd name="connsiteX2" fmla="*/ 184773 w 188615"/>
              <a:gd name="connsiteY2" fmla="*/ 1042932 h 1333500"/>
              <a:gd name="connsiteX3" fmla="*/ 122916 w 188615"/>
              <a:gd name="connsiteY3" fmla="*/ 1333500 h 1333500"/>
              <a:gd name="connsiteX0" fmla="*/ 36855 w 129297"/>
              <a:gd name="connsiteY0" fmla="*/ 0 h 1333500"/>
              <a:gd name="connsiteX1" fmla="*/ 1136 w 129297"/>
              <a:gd name="connsiteY1" fmla="*/ 591416 h 1333500"/>
              <a:gd name="connsiteX2" fmla="*/ 127936 w 129297"/>
              <a:gd name="connsiteY2" fmla="*/ 1042932 h 1333500"/>
              <a:gd name="connsiteX3" fmla="*/ 66079 w 129297"/>
              <a:gd name="connsiteY3" fmla="*/ 1333500 h 1333500"/>
              <a:gd name="connsiteX0" fmla="*/ 36001 w 84156"/>
              <a:gd name="connsiteY0" fmla="*/ 0 h 1333500"/>
              <a:gd name="connsiteX1" fmla="*/ 282 w 84156"/>
              <a:gd name="connsiteY1" fmla="*/ 591416 h 1333500"/>
              <a:gd name="connsiteX2" fmla="*/ 79457 w 84156"/>
              <a:gd name="connsiteY2" fmla="*/ 1014357 h 1333500"/>
              <a:gd name="connsiteX3" fmla="*/ 65225 w 84156"/>
              <a:gd name="connsiteY3" fmla="*/ 1333500 h 1333500"/>
            </a:gdLst>
            <a:ahLst/>
            <a:cxnLst>
              <a:cxn ang="0">
                <a:pos x="connsiteX0" y="connsiteY0"/>
              </a:cxn>
              <a:cxn ang="0">
                <a:pos x="connsiteX1" y="connsiteY1"/>
              </a:cxn>
              <a:cxn ang="0">
                <a:pos x="connsiteX2" y="connsiteY2"/>
              </a:cxn>
              <a:cxn ang="0">
                <a:pos x="connsiteX3" y="connsiteY3"/>
              </a:cxn>
            </a:cxnLst>
            <a:rect l="l" t="t" r="r" b="b"/>
            <a:pathLst>
              <a:path w="84156" h="1333500">
                <a:moveTo>
                  <a:pt x="36001" y="0"/>
                </a:moveTo>
                <a:cubicBezTo>
                  <a:pt x="128725" y="167770"/>
                  <a:pt x="-6961" y="422357"/>
                  <a:pt x="282" y="591416"/>
                </a:cubicBezTo>
                <a:cubicBezTo>
                  <a:pt x="7525" y="760476"/>
                  <a:pt x="68633" y="890676"/>
                  <a:pt x="79457" y="1014357"/>
                </a:cubicBezTo>
                <a:cubicBezTo>
                  <a:pt x="90281" y="1138038"/>
                  <a:pt x="81100" y="1249074"/>
                  <a:pt x="65225" y="1333500"/>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xnSp macro="">
        <xdr:nvCxnSpPr>
          <xdr:cNvPr id="91" name="Straight Connector 90" hidden="1">
            <a:extLst>
              <a:ext uri="{FF2B5EF4-FFF2-40B4-BE49-F238E27FC236}">
                <a16:creationId xmlns:a16="http://schemas.microsoft.com/office/drawing/2014/main" id="{00000000-0008-0000-0000-00005B000000}"/>
              </a:ext>
            </a:extLst>
          </xdr:cNvPr>
          <xdr:cNvCxnSpPr/>
        </xdr:nvCxnSpPr>
        <xdr:spPr>
          <a:xfrm flipH="1">
            <a:off x="4630846" y="12468423"/>
            <a:ext cx="1162273" cy="510481"/>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5">
        <xdr:nvSpPr>
          <xdr:cNvPr id="92" name="TextBox 91" hidden="1">
            <a:extLst>
              <a:ext uri="{FF2B5EF4-FFF2-40B4-BE49-F238E27FC236}">
                <a16:creationId xmlns:a16="http://schemas.microsoft.com/office/drawing/2014/main" id="{00000000-0008-0000-0000-00005C000000}"/>
              </a:ext>
            </a:extLst>
          </xdr:cNvPr>
          <xdr:cNvSpPr txBox="1"/>
        </xdr:nvSpPr>
        <xdr:spPr>
          <a:xfrm rot="20154566">
            <a:off x="4832299" y="12541184"/>
            <a:ext cx="751797" cy="20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1CDD4F2-24DF-46BE-B7A5-5A2B168AB743}" type="TxLink">
              <a:rPr lang="en-US" sz="1100" b="0" i="0" u="none" strike="noStrike">
                <a:solidFill>
                  <a:srgbClr val="000000"/>
                </a:solidFill>
                <a:latin typeface="Calibri"/>
                <a:cs typeface="Calibri"/>
              </a:rPr>
              <a:pPr algn="ctr"/>
              <a:t>0</a:t>
            </a:fld>
            <a:endParaRPr lang="en-GB" sz="1100"/>
          </a:p>
        </xdr:txBody>
      </xdr:sp>
      <xdr:cxnSp macro="">
        <xdr:nvCxnSpPr>
          <xdr:cNvPr id="93" name="Straight Connector 92" hidden="1">
            <a:extLst>
              <a:ext uri="{FF2B5EF4-FFF2-40B4-BE49-F238E27FC236}">
                <a16:creationId xmlns:a16="http://schemas.microsoft.com/office/drawing/2014/main" id="{00000000-0008-0000-0000-00005D000000}"/>
              </a:ext>
            </a:extLst>
          </xdr:cNvPr>
          <xdr:cNvCxnSpPr/>
        </xdr:nvCxnSpPr>
        <xdr:spPr>
          <a:xfrm>
            <a:off x="4609784" y="12930261"/>
            <a:ext cx="108353" cy="63709"/>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93" hidden="1">
            <a:extLst>
              <a:ext uri="{FF2B5EF4-FFF2-40B4-BE49-F238E27FC236}">
                <a16:creationId xmlns:a16="http://schemas.microsoft.com/office/drawing/2014/main" id="{00000000-0008-0000-0000-00005E000000}"/>
              </a:ext>
            </a:extLst>
          </xdr:cNvPr>
          <xdr:cNvCxnSpPr/>
        </xdr:nvCxnSpPr>
        <xdr:spPr>
          <a:xfrm>
            <a:off x="5694149" y="12460037"/>
            <a:ext cx="106142" cy="63709"/>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 name="Straight Connector 94" hidden="1">
            <a:extLst>
              <a:ext uri="{FF2B5EF4-FFF2-40B4-BE49-F238E27FC236}">
                <a16:creationId xmlns:a16="http://schemas.microsoft.com/office/drawing/2014/main" id="{00000000-0008-0000-0000-00005F000000}"/>
              </a:ext>
            </a:extLst>
          </xdr:cNvPr>
          <xdr:cNvCxnSpPr/>
        </xdr:nvCxnSpPr>
        <xdr:spPr>
          <a:xfrm>
            <a:off x="6460924" y="12136957"/>
            <a:ext cx="0" cy="7409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Freeform: Shape 95" hidden="1">
            <a:extLst>
              <a:ext uri="{FF2B5EF4-FFF2-40B4-BE49-F238E27FC236}">
                <a16:creationId xmlns:a16="http://schemas.microsoft.com/office/drawing/2014/main" id="{00000000-0008-0000-0000-000060000000}"/>
              </a:ext>
            </a:extLst>
          </xdr:cNvPr>
          <xdr:cNvSpPr/>
        </xdr:nvSpPr>
        <xdr:spPr>
          <a:xfrm>
            <a:off x="5234751" y="11348867"/>
            <a:ext cx="329381" cy="153702"/>
          </a:xfrm>
          <a:custGeom>
            <a:avLst/>
            <a:gdLst>
              <a:gd name="connsiteX0" fmla="*/ 342900 w 342900"/>
              <a:gd name="connsiteY0" fmla="*/ 36348 h 156509"/>
              <a:gd name="connsiteX1" fmla="*/ 175847 w 342900"/>
              <a:gd name="connsiteY1" fmla="*/ 4109 h 156509"/>
              <a:gd name="connsiteX2" fmla="*/ 82062 w 342900"/>
              <a:gd name="connsiteY2" fmla="*/ 118409 h 156509"/>
              <a:gd name="connsiteX3" fmla="*/ 0 w 342900"/>
              <a:gd name="connsiteY3" fmla="*/ 156509 h 156509"/>
              <a:gd name="connsiteX0" fmla="*/ 332956 w 332956"/>
              <a:gd name="connsiteY0" fmla="*/ 36348 h 162371"/>
              <a:gd name="connsiteX1" fmla="*/ 165903 w 332956"/>
              <a:gd name="connsiteY1" fmla="*/ 4109 h 162371"/>
              <a:gd name="connsiteX2" fmla="*/ 72118 w 332956"/>
              <a:gd name="connsiteY2" fmla="*/ 118409 h 162371"/>
              <a:gd name="connsiteX3" fmla="*/ 0 w 332956"/>
              <a:gd name="connsiteY3" fmla="*/ 162371 h 162371"/>
              <a:gd name="connsiteX0" fmla="*/ 332956 w 332956"/>
              <a:gd name="connsiteY0" fmla="*/ 28213 h 154236"/>
              <a:gd name="connsiteX1" fmla="*/ 118278 w 332956"/>
              <a:gd name="connsiteY1" fmla="*/ 5499 h 154236"/>
              <a:gd name="connsiteX2" fmla="*/ 72118 w 332956"/>
              <a:gd name="connsiteY2" fmla="*/ 110274 h 154236"/>
              <a:gd name="connsiteX3" fmla="*/ 0 w 332956"/>
              <a:gd name="connsiteY3" fmla="*/ 154236 h 154236"/>
            </a:gdLst>
            <a:ahLst/>
            <a:cxnLst>
              <a:cxn ang="0">
                <a:pos x="connsiteX0" y="connsiteY0"/>
              </a:cxn>
              <a:cxn ang="0">
                <a:pos x="connsiteX1" y="connsiteY1"/>
              </a:cxn>
              <a:cxn ang="0">
                <a:pos x="connsiteX2" y="connsiteY2"/>
              </a:cxn>
              <a:cxn ang="0">
                <a:pos x="connsiteX3" y="connsiteY3"/>
              </a:cxn>
            </a:cxnLst>
            <a:rect l="l" t="t" r="r" b="b"/>
            <a:pathLst>
              <a:path w="332956" h="154236">
                <a:moveTo>
                  <a:pt x="332956" y="28213"/>
                </a:moveTo>
                <a:cubicBezTo>
                  <a:pt x="271166" y="5255"/>
                  <a:pt x="161751" y="-8178"/>
                  <a:pt x="118278" y="5499"/>
                </a:cubicBezTo>
                <a:cubicBezTo>
                  <a:pt x="74805" y="19176"/>
                  <a:pt x="91831" y="85485"/>
                  <a:pt x="72118" y="110274"/>
                </a:cubicBezTo>
                <a:cubicBezTo>
                  <a:pt x="52405" y="135064"/>
                  <a:pt x="14165" y="124440"/>
                  <a:pt x="0" y="154236"/>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sp macro="" textlink="">
        <xdr:nvSpPr>
          <xdr:cNvPr id="97" name="Freeform: Shape 96" hidden="1">
            <a:extLst>
              <a:ext uri="{FF2B5EF4-FFF2-40B4-BE49-F238E27FC236}">
                <a16:creationId xmlns:a16="http://schemas.microsoft.com/office/drawing/2014/main" id="{00000000-0008-0000-0000-000061000000}"/>
              </a:ext>
            </a:extLst>
          </xdr:cNvPr>
          <xdr:cNvSpPr/>
        </xdr:nvSpPr>
        <xdr:spPr>
          <a:xfrm>
            <a:off x="5198137" y="11506909"/>
            <a:ext cx="91380" cy="676166"/>
          </a:xfrm>
          <a:custGeom>
            <a:avLst/>
            <a:gdLst>
              <a:gd name="connsiteX0" fmla="*/ 83946 w 151210"/>
              <a:gd name="connsiteY0" fmla="*/ 0 h 682869"/>
              <a:gd name="connsiteX1" fmla="*/ 148423 w 151210"/>
              <a:gd name="connsiteY1" fmla="*/ 275492 h 682869"/>
              <a:gd name="connsiteX2" fmla="*/ 1885 w 151210"/>
              <a:gd name="connsiteY2" fmla="*/ 492369 h 682869"/>
              <a:gd name="connsiteX3" fmla="*/ 69293 w 151210"/>
              <a:gd name="connsiteY3" fmla="*/ 682869 h 682869"/>
              <a:gd name="connsiteX0" fmla="*/ 102427 w 153878"/>
              <a:gd name="connsiteY0" fmla="*/ 0 h 678513"/>
              <a:gd name="connsiteX1" fmla="*/ 148423 w 153878"/>
              <a:gd name="connsiteY1" fmla="*/ 271136 h 678513"/>
              <a:gd name="connsiteX2" fmla="*/ 1885 w 153878"/>
              <a:gd name="connsiteY2" fmla="*/ 488013 h 678513"/>
              <a:gd name="connsiteX3" fmla="*/ 69293 w 153878"/>
              <a:gd name="connsiteY3" fmla="*/ 678513 h 678513"/>
              <a:gd name="connsiteX0" fmla="*/ 45798 w 92995"/>
              <a:gd name="connsiteY0" fmla="*/ 0 h 678513"/>
              <a:gd name="connsiteX1" fmla="*/ 91794 w 92995"/>
              <a:gd name="connsiteY1" fmla="*/ 271136 h 678513"/>
              <a:gd name="connsiteX2" fmla="*/ 13448 w 92995"/>
              <a:gd name="connsiteY2" fmla="*/ 400646 h 678513"/>
              <a:gd name="connsiteX3" fmla="*/ 12664 w 92995"/>
              <a:gd name="connsiteY3" fmla="*/ 678513 h 678513"/>
            </a:gdLst>
            <a:ahLst/>
            <a:cxnLst>
              <a:cxn ang="0">
                <a:pos x="connsiteX0" y="connsiteY0"/>
              </a:cxn>
              <a:cxn ang="0">
                <a:pos x="connsiteX1" y="connsiteY1"/>
              </a:cxn>
              <a:cxn ang="0">
                <a:pos x="connsiteX2" y="connsiteY2"/>
              </a:cxn>
              <a:cxn ang="0">
                <a:pos x="connsiteX3" y="connsiteY3"/>
              </a:cxn>
            </a:cxnLst>
            <a:rect l="l" t="t" r="r" b="b"/>
            <a:pathLst>
              <a:path w="92995" h="678513">
                <a:moveTo>
                  <a:pt x="45798" y="0"/>
                </a:moveTo>
                <a:cubicBezTo>
                  <a:pt x="84875" y="96715"/>
                  <a:pt x="97186" y="204362"/>
                  <a:pt x="91794" y="271136"/>
                </a:cubicBezTo>
                <a:cubicBezTo>
                  <a:pt x="86402" y="337910"/>
                  <a:pt x="26636" y="332750"/>
                  <a:pt x="13448" y="400646"/>
                </a:cubicBezTo>
                <a:cubicBezTo>
                  <a:pt x="260" y="468542"/>
                  <a:pt x="-8340" y="664348"/>
                  <a:pt x="12664" y="678513"/>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xnSp macro="">
        <xdr:nvCxnSpPr>
          <xdr:cNvPr id="98" name="Straight Connector 97" hidden="1">
            <a:extLst>
              <a:ext uri="{FF2B5EF4-FFF2-40B4-BE49-F238E27FC236}">
                <a16:creationId xmlns:a16="http://schemas.microsoft.com/office/drawing/2014/main" id="{00000000-0008-0000-0000-000062000000}"/>
              </a:ext>
            </a:extLst>
          </xdr:cNvPr>
          <xdr:cNvCxnSpPr/>
        </xdr:nvCxnSpPr>
        <xdr:spPr>
          <a:xfrm flipV="1">
            <a:off x="4820043" y="12582090"/>
            <a:ext cx="1084076" cy="47956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hidden="1">
            <a:extLst>
              <a:ext uri="{FF2B5EF4-FFF2-40B4-BE49-F238E27FC236}">
                <a16:creationId xmlns:a16="http://schemas.microsoft.com/office/drawing/2014/main" id="{00000000-0008-0000-0000-000063000000}"/>
              </a:ext>
            </a:extLst>
          </xdr:cNvPr>
          <xdr:cNvCxnSpPr/>
        </xdr:nvCxnSpPr>
        <xdr:spPr>
          <a:xfrm flipV="1">
            <a:off x="6461650" y="12156115"/>
            <a:ext cx="434558" cy="1915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60" name="TextBox 259" hidden="1">
            <a:extLst>
              <a:ext uri="{FF2B5EF4-FFF2-40B4-BE49-F238E27FC236}">
                <a16:creationId xmlns:a16="http://schemas.microsoft.com/office/drawing/2014/main" id="{00000000-0008-0000-0000-000004010000}"/>
              </a:ext>
            </a:extLst>
          </xdr:cNvPr>
          <xdr:cNvSpPr txBox="1"/>
        </xdr:nvSpPr>
        <xdr:spPr>
          <a:xfrm>
            <a:off x="3827813" y="12187065"/>
            <a:ext cx="1271401" cy="318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l-PL" sz="1100"/>
              <a:t>Supported beam</a:t>
            </a:r>
            <a:endParaRPr lang="en-GB" sz="1100"/>
          </a:p>
        </xdr:txBody>
      </xdr:sp>
      <xdr:cxnSp macro="">
        <xdr:nvCxnSpPr>
          <xdr:cNvPr id="261" name="Straight Connector 260" hidden="1">
            <a:extLst>
              <a:ext uri="{FF2B5EF4-FFF2-40B4-BE49-F238E27FC236}">
                <a16:creationId xmlns:a16="http://schemas.microsoft.com/office/drawing/2014/main" id="{00000000-0008-0000-0000-000005010000}"/>
              </a:ext>
            </a:extLst>
          </xdr:cNvPr>
          <xdr:cNvCxnSpPr>
            <a:stCxn id="260" idx="3"/>
            <a:endCxn id="82" idx="1"/>
          </xdr:cNvCxnSpPr>
        </xdr:nvCxnSpPr>
        <xdr:spPr>
          <a:xfrm flipV="1">
            <a:off x="5099214" y="12176467"/>
            <a:ext cx="520043" cy="169847"/>
          </a:xfrm>
          <a:prstGeom prst="line">
            <a:avLst/>
          </a:prstGeom>
          <a:ln w="9525">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14</xdr:col>
      <xdr:colOff>200026</xdr:colOff>
      <xdr:row>18</xdr:row>
      <xdr:rowOff>203809</xdr:rowOff>
    </xdr:from>
    <xdr:to>
      <xdr:col>26</xdr:col>
      <xdr:colOff>168183</xdr:colOff>
      <xdr:row>33</xdr:row>
      <xdr:rowOff>190953</xdr:rowOff>
    </xdr:to>
    <xdr:grpSp>
      <xdr:nvGrpSpPr>
        <xdr:cNvPr id="20" name="PerpendicularSpreader">
          <a:extLst>
            <a:ext uri="{FF2B5EF4-FFF2-40B4-BE49-F238E27FC236}">
              <a16:creationId xmlns:a16="http://schemas.microsoft.com/office/drawing/2014/main" id="{00000000-0008-0000-0000-000014000000}"/>
            </a:ext>
          </a:extLst>
        </xdr:cNvPr>
        <xdr:cNvGrpSpPr/>
      </xdr:nvGrpSpPr>
      <xdr:grpSpPr>
        <a:xfrm>
          <a:off x="4276726" y="4147159"/>
          <a:ext cx="3644807" cy="3130394"/>
          <a:chOff x="6781801" y="13062559"/>
          <a:chExt cx="4197257" cy="3130394"/>
        </a:xfrm>
      </xdr:grpSpPr>
      <xdr:sp macro="" textlink="">
        <xdr:nvSpPr>
          <xdr:cNvPr id="133" name="Parallelogram 132">
            <a:extLst>
              <a:ext uri="{FF2B5EF4-FFF2-40B4-BE49-F238E27FC236}">
                <a16:creationId xmlns:a16="http://schemas.microsoft.com/office/drawing/2014/main" id="{00000000-0008-0000-0000-000085000000}"/>
              </a:ext>
            </a:extLst>
          </xdr:cNvPr>
          <xdr:cNvSpPr/>
        </xdr:nvSpPr>
        <xdr:spPr>
          <a:xfrm rot="9385142" flipV="1">
            <a:off x="9466687" y="14194835"/>
            <a:ext cx="522235" cy="224897"/>
          </a:xfrm>
          <a:prstGeom prst="parallelogram">
            <a:avLst>
              <a:gd name="adj" fmla="val 71088"/>
            </a:avLst>
          </a:prstGeom>
          <a:pattFill prst="dashHorz">
            <a:fgClr>
              <a:schemeClr val="bg1">
                <a:lumMod val="85000"/>
              </a:schemeClr>
            </a:fgClr>
            <a:bgClr>
              <a:srgbClr val="FFFFCC"/>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34" name="Straight Connector 133">
            <a:extLst>
              <a:ext uri="{FF2B5EF4-FFF2-40B4-BE49-F238E27FC236}">
                <a16:creationId xmlns:a16="http://schemas.microsoft.com/office/drawing/2014/main" id="{00000000-0008-0000-0000-000086000000}"/>
              </a:ext>
            </a:extLst>
          </xdr:cNvPr>
          <xdr:cNvCxnSpPr/>
        </xdr:nvCxnSpPr>
        <xdr:spPr>
          <a:xfrm>
            <a:off x="9766431" y="14169962"/>
            <a:ext cx="241574" cy="134952"/>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5" name="Parallelogram 134">
            <a:extLst>
              <a:ext uri="{FF2B5EF4-FFF2-40B4-BE49-F238E27FC236}">
                <a16:creationId xmlns:a16="http://schemas.microsoft.com/office/drawing/2014/main" id="{00000000-0008-0000-0000-000087000000}"/>
              </a:ext>
            </a:extLst>
          </xdr:cNvPr>
          <xdr:cNvSpPr/>
        </xdr:nvSpPr>
        <xdr:spPr>
          <a:xfrm rot="9385142" flipV="1">
            <a:off x="9143102" y="14762373"/>
            <a:ext cx="1373383" cy="448879"/>
          </a:xfrm>
          <a:prstGeom prst="parallelogram">
            <a:avLst>
              <a:gd name="adj" fmla="val 71088"/>
            </a:avLst>
          </a:prstGeom>
          <a:pattFill prst="dashHorz">
            <a:fgClr>
              <a:schemeClr val="bg1">
                <a:lumMod val="85000"/>
              </a:schemeClr>
            </a:fgClr>
            <a:bgClr>
              <a:srgbClr val="FFFFCC"/>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85" name="Straight Connector 184">
            <a:extLst>
              <a:ext uri="{FF2B5EF4-FFF2-40B4-BE49-F238E27FC236}">
                <a16:creationId xmlns:a16="http://schemas.microsoft.com/office/drawing/2014/main" id="{00000000-0008-0000-0000-0000B9000000}"/>
              </a:ext>
            </a:extLst>
          </xdr:cNvPr>
          <xdr:cNvCxnSpPr/>
        </xdr:nvCxnSpPr>
        <xdr:spPr>
          <a:xfrm>
            <a:off x="9111734" y="15058975"/>
            <a:ext cx="469432" cy="281011"/>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6" name="Straight Connector 185">
            <a:extLst>
              <a:ext uri="{FF2B5EF4-FFF2-40B4-BE49-F238E27FC236}">
                <a16:creationId xmlns:a16="http://schemas.microsoft.com/office/drawing/2014/main" id="{00000000-0008-0000-0000-0000BA000000}"/>
              </a:ext>
            </a:extLst>
          </xdr:cNvPr>
          <xdr:cNvCxnSpPr/>
        </xdr:nvCxnSpPr>
        <xdr:spPr>
          <a:xfrm>
            <a:off x="9111734" y="14446017"/>
            <a:ext cx="0" cy="612959"/>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7" name="Straight Connector 186">
            <a:extLst>
              <a:ext uri="{FF2B5EF4-FFF2-40B4-BE49-F238E27FC236}">
                <a16:creationId xmlns:a16="http://schemas.microsoft.com/office/drawing/2014/main" id="{00000000-0008-0000-0000-0000BB000000}"/>
              </a:ext>
            </a:extLst>
          </xdr:cNvPr>
          <xdr:cNvCxnSpPr/>
        </xdr:nvCxnSpPr>
        <xdr:spPr>
          <a:xfrm flipH="1">
            <a:off x="9111734" y="14633639"/>
            <a:ext cx="970537" cy="425336"/>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8" name="Straight Connector 187">
            <a:extLst>
              <a:ext uri="{FF2B5EF4-FFF2-40B4-BE49-F238E27FC236}">
                <a16:creationId xmlns:a16="http://schemas.microsoft.com/office/drawing/2014/main" id="{00000000-0008-0000-0000-0000BC000000}"/>
              </a:ext>
            </a:extLst>
          </xdr:cNvPr>
          <xdr:cNvCxnSpPr/>
        </xdr:nvCxnSpPr>
        <xdr:spPr>
          <a:xfrm>
            <a:off x="10082271" y="14633639"/>
            <a:ext cx="466760" cy="281011"/>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9" name="Straight Connector 188">
            <a:extLst>
              <a:ext uri="{FF2B5EF4-FFF2-40B4-BE49-F238E27FC236}">
                <a16:creationId xmlns:a16="http://schemas.microsoft.com/office/drawing/2014/main" id="{00000000-0008-0000-0000-0000BD000000}"/>
              </a:ext>
            </a:extLst>
          </xdr:cNvPr>
          <xdr:cNvCxnSpPr/>
        </xdr:nvCxnSpPr>
        <xdr:spPr>
          <a:xfrm>
            <a:off x="10082271" y="14020679"/>
            <a:ext cx="0" cy="612960"/>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90" name="Straight Connector 189">
            <a:extLst>
              <a:ext uri="{FF2B5EF4-FFF2-40B4-BE49-F238E27FC236}">
                <a16:creationId xmlns:a16="http://schemas.microsoft.com/office/drawing/2014/main" id="{00000000-0008-0000-0000-0000BE000000}"/>
              </a:ext>
            </a:extLst>
          </xdr:cNvPr>
          <xdr:cNvCxnSpPr/>
        </xdr:nvCxnSpPr>
        <xdr:spPr>
          <a:xfrm>
            <a:off x="9682482" y="13749409"/>
            <a:ext cx="0" cy="6917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1" name="Straight Connector 190">
            <a:extLst>
              <a:ext uri="{FF2B5EF4-FFF2-40B4-BE49-F238E27FC236}">
                <a16:creationId xmlns:a16="http://schemas.microsoft.com/office/drawing/2014/main" id="{00000000-0008-0000-0000-0000BF000000}"/>
              </a:ext>
            </a:extLst>
          </xdr:cNvPr>
          <xdr:cNvCxnSpPr/>
        </xdr:nvCxnSpPr>
        <xdr:spPr>
          <a:xfrm>
            <a:off x="8776186" y="13220327"/>
            <a:ext cx="906296" cy="5290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2" name="Straight Connector 191">
            <a:extLst>
              <a:ext uri="{FF2B5EF4-FFF2-40B4-BE49-F238E27FC236}">
                <a16:creationId xmlns:a16="http://schemas.microsoft.com/office/drawing/2014/main" id="{00000000-0008-0000-0000-0000C0000000}"/>
              </a:ext>
            </a:extLst>
          </xdr:cNvPr>
          <xdr:cNvCxnSpPr/>
        </xdr:nvCxnSpPr>
        <xdr:spPr>
          <a:xfrm>
            <a:off x="8752767" y="13891779"/>
            <a:ext cx="929715" cy="54934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3" name="Straight Connector 192">
            <a:extLst>
              <a:ext uri="{FF2B5EF4-FFF2-40B4-BE49-F238E27FC236}">
                <a16:creationId xmlns:a16="http://schemas.microsoft.com/office/drawing/2014/main" id="{00000000-0008-0000-0000-0000C1000000}"/>
              </a:ext>
            </a:extLst>
          </xdr:cNvPr>
          <xdr:cNvCxnSpPr/>
        </xdr:nvCxnSpPr>
        <xdr:spPr>
          <a:xfrm flipV="1">
            <a:off x="9682482" y="13618894"/>
            <a:ext cx="317322" cy="1305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4" name="Straight Connector 193">
            <a:extLst>
              <a:ext uri="{FF2B5EF4-FFF2-40B4-BE49-F238E27FC236}">
                <a16:creationId xmlns:a16="http://schemas.microsoft.com/office/drawing/2014/main" id="{00000000-0008-0000-0000-0000C2000000}"/>
              </a:ext>
            </a:extLst>
          </xdr:cNvPr>
          <xdr:cNvCxnSpPr/>
        </xdr:nvCxnSpPr>
        <xdr:spPr>
          <a:xfrm flipV="1">
            <a:off x="9682482" y="14299235"/>
            <a:ext cx="325523" cy="14189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a:extLst>
              <a:ext uri="{FF2B5EF4-FFF2-40B4-BE49-F238E27FC236}">
                <a16:creationId xmlns:a16="http://schemas.microsoft.com/office/drawing/2014/main" id="{00000000-0008-0000-0000-0000C3000000}"/>
              </a:ext>
            </a:extLst>
          </xdr:cNvPr>
          <xdr:cNvCxnSpPr/>
        </xdr:nvCxnSpPr>
        <xdr:spPr>
          <a:xfrm>
            <a:off x="10082271" y="14034267"/>
            <a:ext cx="462510" cy="27583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6" name="Straight Connector 195">
            <a:extLst>
              <a:ext uri="{FF2B5EF4-FFF2-40B4-BE49-F238E27FC236}">
                <a16:creationId xmlns:a16="http://schemas.microsoft.com/office/drawing/2014/main" id="{00000000-0008-0000-0000-0000C4000000}"/>
              </a:ext>
            </a:extLst>
          </xdr:cNvPr>
          <xdr:cNvCxnSpPr/>
        </xdr:nvCxnSpPr>
        <xdr:spPr>
          <a:xfrm flipV="1">
            <a:off x="8833447" y="14151666"/>
            <a:ext cx="2074323" cy="9073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Straight Connector 196">
            <a:extLst>
              <a:ext uri="{FF2B5EF4-FFF2-40B4-BE49-F238E27FC236}">
                <a16:creationId xmlns:a16="http://schemas.microsoft.com/office/drawing/2014/main" id="{00000000-0008-0000-0000-0000C5000000}"/>
              </a:ext>
            </a:extLst>
          </xdr:cNvPr>
          <xdr:cNvCxnSpPr/>
        </xdr:nvCxnSpPr>
        <xdr:spPr>
          <a:xfrm flipV="1">
            <a:off x="8363850" y="14299236"/>
            <a:ext cx="1080170" cy="47873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Straight Connector 197">
            <a:extLst>
              <a:ext uri="{FF2B5EF4-FFF2-40B4-BE49-F238E27FC236}">
                <a16:creationId xmlns:a16="http://schemas.microsoft.com/office/drawing/2014/main" id="{00000000-0008-0000-0000-0000C6000000}"/>
              </a:ext>
            </a:extLst>
          </xdr:cNvPr>
          <xdr:cNvCxnSpPr/>
        </xdr:nvCxnSpPr>
        <xdr:spPr>
          <a:xfrm>
            <a:off x="10544781" y="14310102"/>
            <a:ext cx="0" cy="60454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99" name="Freeform: Shape 198">
            <a:extLst>
              <a:ext uri="{FF2B5EF4-FFF2-40B4-BE49-F238E27FC236}">
                <a16:creationId xmlns:a16="http://schemas.microsoft.com/office/drawing/2014/main" id="{00000000-0008-0000-0000-0000C7000000}"/>
              </a:ext>
            </a:extLst>
          </xdr:cNvPr>
          <xdr:cNvSpPr/>
        </xdr:nvSpPr>
        <xdr:spPr>
          <a:xfrm>
            <a:off x="10423703" y="13873999"/>
            <a:ext cx="485994" cy="274576"/>
          </a:xfrm>
          <a:custGeom>
            <a:avLst/>
            <a:gdLst>
              <a:gd name="connsiteX0" fmla="*/ 18711 w 259532"/>
              <a:gd name="connsiteY0" fmla="*/ 0 h 143774"/>
              <a:gd name="connsiteX1" fmla="*/ 22306 w 259532"/>
              <a:gd name="connsiteY1" fmla="*/ 93453 h 143774"/>
              <a:gd name="connsiteX2" fmla="*/ 241560 w 259532"/>
              <a:gd name="connsiteY2" fmla="*/ 64698 h 143774"/>
              <a:gd name="connsiteX3" fmla="*/ 259532 w 259532"/>
              <a:gd name="connsiteY3" fmla="*/ 143774 h 143774"/>
              <a:gd name="connsiteX0" fmla="*/ 18711 w 259532"/>
              <a:gd name="connsiteY0" fmla="*/ 0 h 128447"/>
              <a:gd name="connsiteX1" fmla="*/ 22306 w 259532"/>
              <a:gd name="connsiteY1" fmla="*/ 93453 h 128447"/>
              <a:gd name="connsiteX2" fmla="*/ 241560 w 259532"/>
              <a:gd name="connsiteY2" fmla="*/ 64698 h 128447"/>
              <a:gd name="connsiteX3" fmla="*/ 259532 w 259532"/>
              <a:gd name="connsiteY3" fmla="*/ 128447 h 128447"/>
              <a:gd name="connsiteX0" fmla="*/ 18068 w 260148"/>
              <a:gd name="connsiteY0" fmla="*/ 0 h 135471"/>
              <a:gd name="connsiteX1" fmla="*/ 22922 w 260148"/>
              <a:gd name="connsiteY1" fmla="*/ 100477 h 135471"/>
              <a:gd name="connsiteX2" fmla="*/ 242176 w 260148"/>
              <a:gd name="connsiteY2" fmla="*/ 71722 h 135471"/>
              <a:gd name="connsiteX3" fmla="*/ 260148 w 260148"/>
              <a:gd name="connsiteY3" fmla="*/ 135471 h 135471"/>
              <a:gd name="connsiteX0" fmla="*/ 4201 w 246281"/>
              <a:gd name="connsiteY0" fmla="*/ 0 h 135471"/>
              <a:gd name="connsiteX1" fmla="*/ 61193 w 246281"/>
              <a:gd name="connsiteY1" fmla="*/ 72426 h 135471"/>
              <a:gd name="connsiteX2" fmla="*/ 228309 w 246281"/>
              <a:gd name="connsiteY2" fmla="*/ 71722 h 135471"/>
              <a:gd name="connsiteX3" fmla="*/ 246281 w 246281"/>
              <a:gd name="connsiteY3" fmla="*/ 135471 h 135471"/>
              <a:gd name="connsiteX0" fmla="*/ 3825 w 245905"/>
              <a:gd name="connsiteY0" fmla="*/ 0 h 135471"/>
              <a:gd name="connsiteX1" fmla="*/ 60817 w 245905"/>
              <a:gd name="connsiteY1" fmla="*/ 72426 h 135471"/>
              <a:gd name="connsiteX2" fmla="*/ 194755 w 245905"/>
              <a:gd name="connsiteY2" fmla="*/ 90422 h 135471"/>
              <a:gd name="connsiteX3" fmla="*/ 245905 w 245905"/>
              <a:gd name="connsiteY3" fmla="*/ 135471 h 135471"/>
            </a:gdLst>
            <a:ahLst/>
            <a:cxnLst>
              <a:cxn ang="0">
                <a:pos x="connsiteX0" y="connsiteY0"/>
              </a:cxn>
              <a:cxn ang="0">
                <a:pos x="connsiteX1" y="connsiteY1"/>
              </a:cxn>
              <a:cxn ang="0">
                <a:pos x="connsiteX2" y="connsiteY2"/>
              </a:cxn>
              <a:cxn ang="0">
                <a:pos x="connsiteX3" y="connsiteY3"/>
              </a:cxn>
            </a:cxnLst>
            <a:rect l="l" t="t" r="r" b="b"/>
            <a:pathLst>
              <a:path w="245905" h="135471">
                <a:moveTo>
                  <a:pt x="3825" y="0"/>
                </a:moveTo>
                <a:cubicBezTo>
                  <a:pt x="-12949" y="41335"/>
                  <a:pt x="28995" y="57356"/>
                  <a:pt x="60817" y="72426"/>
                </a:cubicBezTo>
                <a:cubicBezTo>
                  <a:pt x="92639" y="87496"/>
                  <a:pt x="155217" y="82035"/>
                  <a:pt x="194755" y="90422"/>
                </a:cubicBezTo>
                <a:cubicBezTo>
                  <a:pt x="234293" y="98809"/>
                  <a:pt x="223141" y="127084"/>
                  <a:pt x="245905" y="135471"/>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0" name="Freeform: Shape 199">
            <a:extLst>
              <a:ext uri="{FF2B5EF4-FFF2-40B4-BE49-F238E27FC236}">
                <a16:creationId xmlns:a16="http://schemas.microsoft.com/office/drawing/2014/main" id="{00000000-0008-0000-0000-0000C8000000}"/>
              </a:ext>
            </a:extLst>
          </xdr:cNvPr>
          <xdr:cNvSpPr/>
        </xdr:nvSpPr>
        <xdr:spPr>
          <a:xfrm rot="21105620">
            <a:off x="8802868" y="15616101"/>
            <a:ext cx="2176190" cy="416677"/>
          </a:xfrm>
          <a:custGeom>
            <a:avLst/>
            <a:gdLst>
              <a:gd name="connsiteX0" fmla="*/ 0 w 1600200"/>
              <a:gd name="connsiteY0" fmla="*/ 448041 h 461704"/>
              <a:gd name="connsiteX1" fmla="*/ 533400 w 1600200"/>
              <a:gd name="connsiteY1" fmla="*/ 409941 h 461704"/>
              <a:gd name="connsiteX2" fmla="*/ 1123950 w 1600200"/>
              <a:gd name="connsiteY2" fmla="*/ 28941 h 461704"/>
              <a:gd name="connsiteX3" fmla="*/ 1600200 w 1600200"/>
              <a:gd name="connsiteY3" fmla="*/ 28941 h 461704"/>
              <a:gd name="connsiteX0" fmla="*/ 0 w 1600200"/>
              <a:gd name="connsiteY0" fmla="*/ 462594 h 635077"/>
              <a:gd name="connsiteX1" fmla="*/ 570838 w 1600200"/>
              <a:gd name="connsiteY1" fmla="*/ 621023 h 635077"/>
              <a:gd name="connsiteX2" fmla="*/ 1123950 w 1600200"/>
              <a:gd name="connsiteY2" fmla="*/ 43494 h 635077"/>
              <a:gd name="connsiteX3" fmla="*/ 1600200 w 1600200"/>
              <a:gd name="connsiteY3" fmla="*/ 43494 h 635077"/>
              <a:gd name="connsiteX0" fmla="*/ 0 w 1586077"/>
              <a:gd name="connsiteY0" fmla="*/ 423581 h 596064"/>
              <a:gd name="connsiteX1" fmla="*/ 570838 w 1586077"/>
              <a:gd name="connsiteY1" fmla="*/ 582010 h 596064"/>
              <a:gd name="connsiteX2" fmla="*/ 1123950 w 1586077"/>
              <a:gd name="connsiteY2" fmla="*/ 4481 h 596064"/>
              <a:gd name="connsiteX3" fmla="*/ 1586077 w 1586077"/>
              <a:gd name="connsiteY3" fmla="*/ 299635 h 596064"/>
              <a:gd name="connsiteX0" fmla="*/ 0 w 1586077"/>
              <a:gd name="connsiteY0" fmla="*/ 190942 h 352804"/>
              <a:gd name="connsiteX1" fmla="*/ 570838 w 1586077"/>
              <a:gd name="connsiteY1" fmla="*/ 349371 h 352804"/>
              <a:gd name="connsiteX2" fmla="*/ 1092518 w 1586077"/>
              <a:gd name="connsiteY2" fmla="*/ 12752 h 352804"/>
              <a:gd name="connsiteX3" fmla="*/ 1586077 w 1586077"/>
              <a:gd name="connsiteY3" fmla="*/ 66996 h 352804"/>
              <a:gd name="connsiteX0" fmla="*/ 0 w 1436418"/>
              <a:gd name="connsiteY0" fmla="*/ 377137 h 392123"/>
              <a:gd name="connsiteX1" fmla="*/ 421179 w 1436418"/>
              <a:gd name="connsiteY1" fmla="*/ 349369 h 392123"/>
              <a:gd name="connsiteX2" fmla="*/ 942859 w 1436418"/>
              <a:gd name="connsiteY2" fmla="*/ 12750 h 392123"/>
              <a:gd name="connsiteX3" fmla="*/ 1436418 w 1436418"/>
              <a:gd name="connsiteY3" fmla="*/ 66994 h 392123"/>
              <a:gd name="connsiteX0" fmla="*/ 0 w 1449891"/>
              <a:gd name="connsiteY0" fmla="*/ 715567 h 716251"/>
              <a:gd name="connsiteX1" fmla="*/ 434652 w 1449891"/>
              <a:gd name="connsiteY1" fmla="*/ 349369 h 716251"/>
              <a:gd name="connsiteX2" fmla="*/ 956332 w 1449891"/>
              <a:gd name="connsiteY2" fmla="*/ 12750 h 716251"/>
              <a:gd name="connsiteX3" fmla="*/ 1449891 w 1449891"/>
              <a:gd name="connsiteY3" fmla="*/ 66994 h 716251"/>
              <a:gd name="connsiteX0" fmla="*/ 0 w 1449891"/>
              <a:gd name="connsiteY0" fmla="*/ 715567 h 715567"/>
              <a:gd name="connsiteX1" fmla="*/ 434652 w 1449891"/>
              <a:gd name="connsiteY1" fmla="*/ 349369 h 715567"/>
              <a:gd name="connsiteX2" fmla="*/ 956332 w 1449891"/>
              <a:gd name="connsiteY2" fmla="*/ 12750 h 715567"/>
              <a:gd name="connsiteX3" fmla="*/ 1449891 w 1449891"/>
              <a:gd name="connsiteY3" fmla="*/ 66994 h 715567"/>
              <a:gd name="connsiteX0" fmla="*/ 0 w 1449891"/>
              <a:gd name="connsiteY0" fmla="*/ 728576 h 728576"/>
              <a:gd name="connsiteX1" fmla="*/ 508998 w 1449891"/>
              <a:gd name="connsiteY1" fmla="*/ 558949 h 728576"/>
              <a:gd name="connsiteX2" fmla="*/ 956332 w 1449891"/>
              <a:gd name="connsiteY2" fmla="*/ 25759 h 728576"/>
              <a:gd name="connsiteX3" fmla="*/ 1449891 w 1449891"/>
              <a:gd name="connsiteY3" fmla="*/ 80003 h 728576"/>
              <a:gd name="connsiteX0" fmla="*/ 0 w 1347006"/>
              <a:gd name="connsiteY0" fmla="*/ 746314 h 746314"/>
              <a:gd name="connsiteX1" fmla="*/ 508998 w 1347006"/>
              <a:gd name="connsiteY1" fmla="*/ 576687 h 746314"/>
              <a:gd name="connsiteX2" fmla="*/ 956332 w 1347006"/>
              <a:gd name="connsiteY2" fmla="*/ 43497 h 746314"/>
              <a:gd name="connsiteX3" fmla="*/ 1347006 w 1347006"/>
              <a:gd name="connsiteY3" fmla="*/ 20697 h 746314"/>
              <a:gd name="connsiteX0" fmla="*/ 0 w 1347491"/>
              <a:gd name="connsiteY0" fmla="*/ 750323 h 750323"/>
              <a:gd name="connsiteX1" fmla="*/ 508998 w 1347491"/>
              <a:gd name="connsiteY1" fmla="*/ 580696 h 750323"/>
              <a:gd name="connsiteX2" fmla="*/ 956332 w 1347491"/>
              <a:gd name="connsiteY2" fmla="*/ 47506 h 750323"/>
              <a:gd name="connsiteX3" fmla="*/ 1347491 w 1347491"/>
              <a:gd name="connsiteY3" fmla="*/ 15039 h 750323"/>
              <a:gd name="connsiteX0" fmla="*/ 0 w 1369695"/>
              <a:gd name="connsiteY0" fmla="*/ 715104 h 715104"/>
              <a:gd name="connsiteX1" fmla="*/ 508998 w 1369695"/>
              <a:gd name="connsiteY1" fmla="*/ 545477 h 715104"/>
              <a:gd name="connsiteX2" fmla="*/ 956332 w 1369695"/>
              <a:gd name="connsiteY2" fmla="*/ 12287 h 715104"/>
              <a:gd name="connsiteX3" fmla="*/ 1369695 w 1369695"/>
              <a:gd name="connsiteY3" fmla="*/ 270760 h 715104"/>
              <a:gd name="connsiteX0" fmla="*/ 0 w 1347413"/>
              <a:gd name="connsiteY0" fmla="*/ 749487 h 749487"/>
              <a:gd name="connsiteX1" fmla="*/ 508998 w 1347413"/>
              <a:gd name="connsiteY1" fmla="*/ 579860 h 749487"/>
              <a:gd name="connsiteX2" fmla="*/ 956332 w 1347413"/>
              <a:gd name="connsiteY2" fmla="*/ 46670 h 749487"/>
              <a:gd name="connsiteX3" fmla="*/ 1347413 w 1347413"/>
              <a:gd name="connsiteY3" fmla="*/ 16088 h 749487"/>
              <a:gd name="connsiteX0" fmla="*/ 0 w 1382886"/>
              <a:gd name="connsiteY0" fmla="*/ 741009 h 741009"/>
              <a:gd name="connsiteX1" fmla="*/ 508998 w 1382886"/>
              <a:gd name="connsiteY1" fmla="*/ 571382 h 741009"/>
              <a:gd name="connsiteX2" fmla="*/ 956332 w 1382886"/>
              <a:gd name="connsiteY2" fmla="*/ 38192 h 741009"/>
              <a:gd name="connsiteX3" fmla="*/ 1382886 w 1382886"/>
              <a:gd name="connsiteY3" fmla="*/ 31118 h 741009"/>
              <a:gd name="connsiteX0" fmla="*/ 0 w 1367100"/>
              <a:gd name="connsiteY0" fmla="*/ 744895 h 744895"/>
              <a:gd name="connsiteX1" fmla="*/ 508998 w 1367100"/>
              <a:gd name="connsiteY1" fmla="*/ 575268 h 744895"/>
              <a:gd name="connsiteX2" fmla="*/ 956332 w 1367100"/>
              <a:gd name="connsiteY2" fmla="*/ 42078 h 744895"/>
              <a:gd name="connsiteX3" fmla="*/ 1367100 w 1367100"/>
              <a:gd name="connsiteY3" fmla="*/ 23107 h 744895"/>
              <a:gd name="connsiteX0" fmla="*/ 0 w 1359969"/>
              <a:gd name="connsiteY0" fmla="*/ 745996 h 745996"/>
              <a:gd name="connsiteX1" fmla="*/ 508998 w 1359969"/>
              <a:gd name="connsiteY1" fmla="*/ 576369 h 745996"/>
              <a:gd name="connsiteX2" fmla="*/ 956332 w 1359969"/>
              <a:gd name="connsiteY2" fmla="*/ 43179 h 745996"/>
              <a:gd name="connsiteX3" fmla="*/ 1359969 w 1359969"/>
              <a:gd name="connsiteY3" fmla="*/ 21216 h 745996"/>
            </a:gdLst>
            <a:ahLst/>
            <a:cxnLst>
              <a:cxn ang="0">
                <a:pos x="connsiteX0" y="connsiteY0"/>
              </a:cxn>
              <a:cxn ang="0">
                <a:pos x="connsiteX1" y="connsiteY1"/>
              </a:cxn>
              <a:cxn ang="0">
                <a:pos x="connsiteX2" y="connsiteY2"/>
              </a:cxn>
              <a:cxn ang="0">
                <a:pos x="connsiteX3" y="connsiteY3"/>
              </a:cxn>
            </a:cxnLst>
            <a:rect l="l" t="t" r="r" b="b"/>
            <a:pathLst>
              <a:path w="1359969" h="745996">
                <a:moveTo>
                  <a:pt x="0" y="745996"/>
                </a:moveTo>
                <a:cubicBezTo>
                  <a:pt x="147757" y="461862"/>
                  <a:pt x="349609" y="693505"/>
                  <a:pt x="508998" y="576369"/>
                </a:cubicBezTo>
                <a:cubicBezTo>
                  <a:pt x="668387" y="459233"/>
                  <a:pt x="799517" y="123003"/>
                  <a:pt x="956332" y="43179"/>
                </a:cubicBezTo>
                <a:cubicBezTo>
                  <a:pt x="1113147" y="-36645"/>
                  <a:pt x="1259957" y="18041"/>
                  <a:pt x="1359969" y="21216"/>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201" name="Straight Connector 200">
            <a:extLst>
              <a:ext uri="{FF2B5EF4-FFF2-40B4-BE49-F238E27FC236}">
                <a16:creationId xmlns:a16="http://schemas.microsoft.com/office/drawing/2014/main" id="{00000000-0008-0000-0000-0000C9000000}"/>
              </a:ext>
            </a:extLst>
          </xdr:cNvPr>
          <xdr:cNvCxnSpPr/>
        </xdr:nvCxnSpPr>
        <xdr:spPr>
          <a:xfrm>
            <a:off x="9111734" y="14450446"/>
            <a:ext cx="469432" cy="2810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2" name="Straight Connector 201">
            <a:extLst>
              <a:ext uri="{FF2B5EF4-FFF2-40B4-BE49-F238E27FC236}">
                <a16:creationId xmlns:a16="http://schemas.microsoft.com/office/drawing/2014/main" id="{00000000-0008-0000-0000-0000CA000000}"/>
              </a:ext>
            </a:extLst>
          </xdr:cNvPr>
          <xdr:cNvCxnSpPr/>
        </xdr:nvCxnSpPr>
        <xdr:spPr>
          <a:xfrm>
            <a:off x="9581164" y="14727027"/>
            <a:ext cx="0" cy="61296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3" name="Straight Connector 202">
            <a:extLst>
              <a:ext uri="{FF2B5EF4-FFF2-40B4-BE49-F238E27FC236}">
                <a16:creationId xmlns:a16="http://schemas.microsoft.com/office/drawing/2014/main" id="{00000000-0008-0000-0000-0000CB000000}"/>
              </a:ext>
            </a:extLst>
          </xdr:cNvPr>
          <xdr:cNvCxnSpPr/>
        </xdr:nvCxnSpPr>
        <xdr:spPr>
          <a:xfrm flipH="1">
            <a:off x="9581164" y="14914650"/>
            <a:ext cx="967866" cy="42533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4" name="Straight Connector 203">
            <a:extLst>
              <a:ext uri="{FF2B5EF4-FFF2-40B4-BE49-F238E27FC236}">
                <a16:creationId xmlns:a16="http://schemas.microsoft.com/office/drawing/2014/main" id="{00000000-0008-0000-0000-0000CC000000}"/>
              </a:ext>
            </a:extLst>
          </xdr:cNvPr>
          <xdr:cNvCxnSpPr/>
        </xdr:nvCxnSpPr>
        <xdr:spPr>
          <a:xfrm>
            <a:off x="7861710" y="14723587"/>
            <a:ext cx="789708" cy="47210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a:extLst>
              <a:ext uri="{FF2B5EF4-FFF2-40B4-BE49-F238E27FC236}">
                <a16:creationId xmlns:a16="http://schemas.microsoft.com/office/drawing/2014/main" id="{00000000-0008-0000-0000-0000CD000000}"/>
              </a:ext>
            </a:extLst>
          </xdr:cNvPr>
          <xdr:cNvCxnSpPr/>
        </xdr:nvCxnSpPr>
        <xdr:spPr>
          <a:xfrm>
            <a:off x="9278944" y="14077585"/>
            <a:ext cx="568322" cy="33723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6" name="Straight Connector 205">
            <a:extLst>
              <a:ext uri="{FF2B5EF4-FFF2-40B4-BE49-F238E27FC236}">
                <a16:creationId xmlns:a16="http://schemas.microsoft.com/office/drawing/2014/main" id="{00000000-0008-0000-0000-0000CE000000}"/>
              </a:ext>
            </a:extLst>
          </xdr:cNvPr>
          <xdr:cNvCxnSpPr/>
        </xdr:nvCxnSpPr>
        <xdr:spPr>
          <a:xfrm>
            <a:off x="9983139" y="14495552"/>
            <a:ext cx="0" cy="73638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7" name="Straight Connector 206">
            <a:extLst>
              <a:ext uri="{FF2B5EF4-FFF2-40B4-BE49-F238E27FC236}">
                <a16:creationId xmlns:a16="http://schemas.microsoft.com/office/drawing/2014/main" id="{00000000-0008-0000-0000-0000CF000000}"/>
              </a:ext>
            </a:extLst>
          </xdr:cNvPr>
          <xdr:cNvCxnSpPr/>
        </xdr:nvCxnSpPr>
        <xdr:spPr>
          <a:xfrm flipH="1">
            <a:off x="9546497" y="15220307"/>
            <a:ext cx="1038460" cy="456661"/>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8" name="Straight Connector 207">
            <a:extLst>
              <a:ext uri="{FF2B5EF4-FFF2-40B4-BE49-F238E27FC236}">
                <a16:creationId xmlns:a16="http://schemas.microsoft.com/office/drawing/2014/main" id="{00000000-0008-0000-0000-0000D0000000}"/>
              </a:ext>
            </a:extLst>
          </xdr:cNvPr>
          <xdr:cNvCxnSpPr/>
        </xdr:nvCxnSpPr>
        <xdr:spPr>
          <a:xfrm flipV="1">
            <a:off x="9746795" y="14368934"/>
            <a:ext cx="106233" cy="4799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9" name="Straight Connector 208">
            <a:extLst>
              <a:ext uri="{FF2B5EF4-FFF2-40B4-BE49-F238E27FC236}">
                <a16:creationId xmlns:a16="http://schemas.microsoft.com/office/drawing/2014/main" id="{00000000-0008-0000-0000-0000D1000000}"/>
              </a:ext>
            </a:extLst>
          </xdr:cNvPr>
          <xdr:cNvCxnSpPr/>
        </xdr:nvCxnSpPr>
        <xdr:spPr>
          <a:xfrm flipV="1">
            <a:off x="9924647" y="14531970"/>
            <a:ext cx="106836" cy="4799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0" name="Straight Connector 209">
            <a:extLst>
              <a:ext uri="{FF2B5EF4-FFF2-40B4-BE49-F238E27FC236}">
                <a16:creationId xmlns:a16="http://schemas.microsoft.com/office/drawing/2014/main" id="{00000000-0008-0000-0000-0000D2000000}"/>
              </a:ext>
            </a:extLst>
          </xdr:cNvPr>
          <xdr:cNvCxnSpPr/>
        </xdr:nvCxnSpPr>
        <xdr:spPr>
          <a:xfrm flipV="1">
            <a:off x="9924647" y="15139018"/>
            <a:ext cx="106836" cy="4799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1" name="Straight Connector 210">
            <a:extLst>
              <a:ext uri="{FF2B5EF4-FFF2-40B4-BE49-F238E27FC236}">
                <a16:creationId xmlns:a16="http://schemas.microsoft.com/office/drawing/2014/main" id="{00000000-0008-0000-0000-0000D3000000}"/>
              </a:ext>
            </a:extLst>
          </xdr:cNvPr>
          <xdr:cNvCxnSpPr/>
        </xdr:nvCxnSpPr>
        <xdr:spPr>
          <a:xfrm flipV="1">
            <a:off x="8573449" y="15146789"/>
            <a:ext cx="106232" cy="4799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2" name="Straight Connector 211">
            <a:extLst>
              <a:ext uri="{FF2B5EF4-FFF2-40B4-BE49-F238E27FC236}">
                <a16:creationId xmlns:a16="http://schemas.microsoft.com/office/drawing/2014/main" id="{00000000-0008-0000-0000-0000D4000000}"/>
              </a:ext>
            </a:extLst>
          </xdr:cNvPr>
          <xdr:cNvCxnSpPr/>
        </xdr:nvCxnSpPr>
        <xdr:spPr>
          <a:xfrm flipV="1">
            <a:off x="9635946" y="13866163"/>
            <a:ext cx="400982" cy="180757"/>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3" name="Straight Connector 212">
            <a:extLst>
              <a:ext uri="{FF2B5EF4-FFF2-40B4-BE49-F238E27FC236}">
                <a16:creationId xmlns:a16="http://schemas.microsoft.com/office/drawing/2014/main" id="{00000000-0008-0000-0000-0000D5000000}"/>
              </a:ext>
            </a:extLst>
          </xdr:cNvPr>
          <xdr:cNvCxnSpPr/>
        </xdr:nvCxnSpPr>
        <xdr:spPr>
          <a:xfrm flipV="1">
            <a:off x="8079476" y="14859546"/>
            <a:ext cx="106836" cy="4860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4" name="Straight Connector 213">
            <a:extLst>
              <a:ext uri="{FF2B5EF4-FFF2-40B4-BE49-F238E27FC236}">
                <a16:creationId xmlns:a16="http://schemas.microsoft.com/office/drawing/2014/main" id="{00000000-0008-0000-0000-0000D6000000}"/>
              </a:ext>
            </a:extLst>
          </xdr:cNvPr>
          <xdr:cNvCxnSpPr/>
        </xdr:nvCxnSpPr>
        <xdr:spPr>
          <a:xfrm flipV="1">
            <a:off x="9515818" y="14228316"/>
            <a:ext cx="106836" cy="47992"/>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5" name="Straight Connector 214">
            <a:extLst>
              <a:ext uri="{FF2B5EF4-FFF2-40B4-BE49-F238E27FC236}">
                <a16:creationId xmlns:a16="http://schemas.microsoft.com/office/drawing/2014/main" id="{00000000-0008-0000-0000-0000D7000000}"/>
              </a:ext>
            </a:extLst>
          </xdr:cNvPr>
          <xdr:cNvCxnSpPr/>
        </xdr:nvCxnSpPr>
        <xdr:spPr>
          <a:xfrm>
            <a:off x="9581164" y="15625006"/>
            <a:ext cx="0" cy="7335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6" name="Straight Connector 215">
            <a:extLst>
              <a:ext uri="{FF2B5EF4-FFF2-40B4-BE49-F238E27FC236}">
                <a16:creationId xmlns:a16="http://schemas.microsoft.com/office/drawing/2014/main" id="{00000000-0008-0000-0000-0000D8000000}"/>
              </a:ext>
            </a:extLst>
          </xdr:cNvPr>
          <xdr:cNvCxnSpPr/>
        </xdr:nvCxnSpPr>
        <xdr:spPr>
          <a:xfrm>
            <a:off x="10542283" y="15201966"/>
            <a:ext cx="0" cy="7335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7" name="Straight Connector 216">
            <a:extLst>
              <a:ext uri="{FF2B5EF4-FFF2-40B4-BE49-F238E27FC236}">
                <a16:creationId xmlns:a16="http://schemas.microsoft.com/office/drawing/2014/main" id="{00000000-0008-0000-0000-0000D9000000}"/>
              </a:ext>
            </a:extLst>
          </xdr:cNvPr>
          <xdr:cNvCxnSpPr/>
        </xdr:nvCxnSpPr>
        <xdr:spPr>
          <a:xfrm>
            <a:off x="9682888" y="13991859"/>
            <a:ext cx="0" cy="7335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3">
        <xdr:nvSpPr>
          <xdr:cNvPr id="218" name="TextBox 217">
            <a:extLst>
              <a:ext uri="{FF2B5EF4-FFF2-40B4-BE49-F238E27FC236}">
                <a16:creationId xmlns:a16="http://schemas.microsoft.com/office/drawing/2014/main" id="{00000000-0008-0000-0000-0000DA000000}"/>
              </a:ext>
            </a:extLst>
          </xdr:cNvPr>
          <xdr:cNvSpPr txBox="1"/>
        </xdr:nvSpPr>
        <xdr:spPr>
          <a:xfrm rot="20154566">
            <a:off x="9470416" y="13753490"/>
            <a:ext cx="750222" cy="20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6710847-C079-4F5A-8D15-CD237F47A00B}" type="TxLink">
              <a:rPr lang="en-US" sz="1100" b="0" i="0" u="none" strike="noStrike">
                <a:solidFill>
                  <a:srgbClr val="000000"/>
                </a:solidFill>
                <a:latin typeface="Calibri"/>
                <a:cs typeface="Calibri"/>
              </a:rPr>
              <a:pPr algn="ctr"/>
              <a:t>215</a:t>
            </a:fld>
            <a:endParaRPr lang="en-GB" sz="1100"/>
          </a:p>
        </xdr:txBody>
      </xdr:sp>
      <xdr:sp macro="" textlink="$AL$16">
        <xdr:nvSpPr>
          <xdr:cNvPr id="219" name="TextBox 218">
            <a:extLst>
              <a:ext uri="{FF2B5EF4-FFF2-40B4-BE49-F238E27FC236}">
                <a16:creationId xmlns:a16="http://schemas.microsoft.com/office/drawing/2014/main" id="{00000000-0008-0000-0000-0000DB000000}"/>
              </a:ext>
            </a:extLst>
          </xdr:cNvPr>
          <xdr:cNvSpPr txBox="1"/>
        </xdr:nvSpPr>
        <xdr:spPr>
          <a:xfrm rot="20154566">
            <a:off x="9637640" y="15273895"/>
            <a:ext cx="750222" cy="20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1A6455D-AC5F-4F51-9CCA-806B31F1BFC7}" type="TxLink">
              <a:rPr lang="en-US" sz="1100" b="0" i="0" u="none" strike="noStrike">
                <a:solidFill>
                  <a:srgbClr val="000000"/>
                </a:solidFill>
                <a:latin typeface="Calibri"/>
                <a:cs typeface="Calibri"/>
              </a:rPr>
              <a:pPr algn="ctr"/>
              <a:t>440</a:t>
            </a:fld>
            <a:endParaRPr lang="en-GB" sz="1100"/>
          </a:p>
        </xdr:txBody>
      </xdr:sp>
      <xdr:sp macro="" textlink="$AL$14">
        <xdr:nvSpPr>
          <xdr:cNvPr id="220" name="TextBox 219">
            <a:extLst>
              <a:ext uri="{FF2B5EF4-FFF2-40B4-BE49-F238E27FC236}">
                <a16:creationId xmlns:a16="http://schemas.microsoft.com/office/drawing/2014/main" id="{00000000-0008-0000-0000-0000DC000000}"/>
              </a:ext>
            </a:extLst>
          </xdr:cNvPr>
          <xdr:cNvSpPr txBox="1"/>
        </xdr:nvSpPr>
        <xdr:spPr>
          <a:xfrm rot="1804375">
            <a:off x="9108031" y="13974348"/>
            <a:ext cx="752213" cy="20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10FF18B-E07A-450A-8351-78357CFD11D0}" type="TxLink">
              <a:rPr lang="en-US" sz="1100" b="0" i="0" u="none" strike="noStrike">
                <a:solidFill>
                  <a:srgbClr val="000000"/>
                </a:solidFill>
                <a:latin typeface="Calibri"/>
                <a:cs typeface="Calibri"/>
              </a:rPr>
              <a:pPr algn="ctr"/>
              <a:t>150</a:t>
            </a:fld>
            <a:endParaRPr lang="en-GB" sz="1100"/>
          </a:p>
        </xdr:txBody>
      </xdr:sp>
      <xdr:sp macro="" textlink="$AL$12">
        <xdr:nvSpPr>
          <xdr:cNvPr id="221" name="TextBox 220">
            <a:extLst>
              <a:ext uri="{FF2B5EF4-FFF2-40B4-BE49-F238E27FC236}">
                <a16:creationId xmlns:a16="http://schemas.microsoft.com/office/drawing/2014/main" id="{00000000-0008-0000-0000-0000DD000000}"/>
              </a:ext>
            </a:extLst>
          </xdr:cNvPr>
          <xdr:cNvSpPr txBox="1"/>
        </xdr:nvSpPr>
        <xdr:spPr>
          <a:xfrm rot="1804375">
            <a:off x="7668069" y="14606111"/>
            <a:ext cx="751019" cy="20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B7D4286-107D-4DA1-B330-2C52B3A92BE2}" type="TxLink">
              <a:rPr lang="en-US" sz="1100" b="0" i="0" u="none" strike="noStrike">
                <a:ln>
                  <a:noFill/>
                </a:ln>
                <a:solidFill>
                  <a:srgbClr val="000000"/>
                </a:solidFill>
                <a:effectLst/>
                <a:latin typeface="Calibri"/>
                <a:cs typeface="Calibri"/>
              </a:rPr>
              <a:pPr algn="ctr"/>
              <a:t>215</a:t>
            </a:fld>
            <a:endParaRPr lang="en-GB" sz="1100">
              <a:ln>
                <a:noFill/>
              </a:ln>
              <a:solidFill>
                <a:schemeClr val="dk1"/>
              </a:solidFill>
              <a:effectLst/>
            </a:endParaRPr>
          </a:p>
        </xdr:txBody>
      </xdr:sp>
      <xdr:sp macro="" textlink="$AL$17">
        <xdr:nvSpPr>
          <xdr:cNvPr id="222" name="TextBox 221">
            <a:extLst>
              <a:ext uri="{FF2B5EF4-FFF2-40B4-BE49-F238E27FC236}">
                <a16:creationId xmlns:a16="http://schemas.microsoft.com/office/drawing/2014/main" id="{00000000-0008-0000-0000-0000DE000000}"/>
              </a:ext>
            </a:extLst>
          </xdr:cNvPr>
          <xdr:cNvSpPr txBox="1"/>
        </xdr:nvSpPr>
        <xdr:spPr>
          <a:xfrm rot="16200000">
            <a:off x="9532441" y="14782212"/>
            <a:ext cx="752490" cy="205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78F0FA8-DD10-46F5-9077-29336BE34DDE}" type="TxLink">
              <a:rPr lang="en-US" sz="1100" b="0" i="0" u="none" strike="noStrike">
                <a:solidFill>
                  <a:srgbClr val="000000"/>
                </a:solidFill>
                <a:latin typeface="Calibri"/>
                <a:cs typeface="Calibri"/>
              </a:rPr>
              <a:pPr algn="ctr"/>
              <a:t>215</a:t>
            </a:fld>
            <a:endParaRPr lang="en-GB" sz="1100"/>
          </a:p>
        </xdr:txBody>
      </xdr:sp>
      <xdr:cxnSp macro="">
        <xdr:nvCxnSpPr>
          <xdr:cNvPr id="223" name="Straight Connector 222">
            <a:extLst>
              <a:ext uri="{FF2B5EF4-FFF2-40B4-BE49-F238E27FC236}">
                <a16:creationId xmlns:a16="http://schemas.microsoft.com/office/drawing/2014/main" id="{00000000-0008-0000-0000-0000DF000000}"/>
              </a:ext>
            </a:extLst>
          </xdr:cNvPr>
          <xdr:cNvCxnSpPr>
            <a:endCxn id="200" idx="0"/>
          </xdr:cNvCxnSpPr>
        </xdr:nvCxnSpPr>
        <xdr:spPr>
          <a:xfrm>
            <a:off x="8837597" y="15058975"/>
            <a:ext cx="6021" cy="112939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4" name="Straight Connector 223">
            <a:extLst>
              <a:ext uri="{FF2B5EF4-FFF2-40B4-BE49-F238E27FC236}">
                <a16:creationId xmlns:a16="http://schemas.microsoft.com/office/drawing/2014/main" id="{00000000-0008-0000-0000-0000E0000000}"/>
              </a:ext>
            </a:extLst>
          </xdr:cNvPr>
          <xdr:cNvCxnSpPr/>
        </xdr:nvCxnSpPr>
        <xdr:spPr>
          <a:xfrm>
            <a:off x="8364016" y="14777965"/>
            <a:ext cx="469432" cy="2810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5" name="Straight Connector 224">
            <a:extLst>
              <a:ext uri="{FF2B5EF4-FFF2-40B4-BE49-F238E27FC236}">
                <a16:creationId xmlns:a16="http://schemas.microsoft.com/office/drawing/2014/main" id="{00000000-0008-0000-0000-0000E1000000}"/>
              </a:ext>
            </a:extLst>
          </xdr:cNvPr>
          <xdr:cNvCxnSpPr/>
        </xdr:nvCxnSpPr>
        <xdr:spPr>
          <a:xfrm>
            <a:off x="8363850" y="14772983"/>
            <a:ext cx="0" cy="11365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6" name="Freeform: Shape 225">
            <a:extLst>
              <a:ext uri="{FF2B5EF4-FFF2-40B4-BE49-F238E27FC236}">
                <a16:creationId xmlns:a16="http://schemas.microsoft.com/office/drawing/2014/main" id="{00000000-0008-0000-0000-0000E2000000}"/>
              </a:ext>
            </a:extLst>
          </xdr:cNvPr>
          <xdr:cNvSpPr/>
        </xdr:nvSpPr>
        <xdr:spPr>
          <a:xfrm>
            <a:off x="8362166" y="15893017"/>
            <a:ext cx="475398" cy="299936"/>
          </a:xfrm>
          <a:custGeom>
            <a:avLst/>
            <a:gdLst>
              <a:gd name="connsiteX0" fmla="*/ 0 w 482203"/>
              <a:gd name="connsiteY0" fmla="*/ 40135 h 353075"/>
              <a:gd name="connsiteX1" fmla="*/ 190500 w 482203"/>
              <a:gd name="connsiteY1" fmla="*/ 16323 h 353075"/>
              <a:gd name="connsiteX2" fmla="*/ 339328 w 482203"/>
              <a:gd name="connsiteY2" fmla="*/ 254448 h 353075"/>
              <a:gd name="connsiteX3" fmla="*/ 482203 w 482203"/>
              <a:gd name="connsiteY3" fmla="*/ 343744 h 353075"/>
              <a:gd name="connsiteX0" fmla="*/ 0 w 482203"/>
              <a:gd name="connsiteY0" fmla="*/ 61266 h 346174"/>
              <a:gd name="connsiteX1" fmla="*/ 190500 w 482203"/>
              <a:gd name="connsiteY1" fmla="*/ 9422 h 346174"/>
              <a:gd name="connsiteX2" fmla="*/ 339328 w 482203"/>
              <a:gd name="connsiteY2" fmla="*/ 247547 h 346174"/>
              <a:gd name="connsiteX3" fmla="*/ 482203 w 482203"/>
              <a:gd name="connsiteY3" fmla="*/ 336843 h 346174"/>
              <a:gd name="connsiteX0" fmla="*/ 0 w 482203"/>
              <a:gd name="connsiteY0" fmla="*/ 16593 h 301501"/>
              <a:gd name="connsiteX1" fmla="*/ 190500 w 482203"/>
              <a:gd name="connsiteY1" fmla="*/ 31424 h 301501"/>
              <a:gd name="connsiteX2" fmla="*/ 339328 w 482203"/>
              <a:gd name="connsiteY2" fmla="*/ 202874 h 301501"/>
              <a:gd name="connsiteX3" fmla="*/ 482203 w 482203"/>
              <a:gd name="connsiteY3" fmla="*/ 292170 h 301501"/>
            </a:gdLst>
            <a:ahLst/>
            <a:cxnLst>
              <a:cxn ang="0">
                <a:pos x="connsiteX0" y="connsiteY0"/>
              </a:cxn>
              <a:cxn ang="0">
                <a:pos x="connsiteX1" y="connsiteY1"/>
              </a:cxn>
              <a:cxn ang="0">
                <a:pos x="connsiteX2" y="connsiteY2"/>
              </a:cxn>
              <a:cxn ang="0">
                <a:pos x="connsiteX3" y="connsiteY3"/>
              </a:cxn>
            </a:cxnLst>
            <a:rect l="l" t="t" r="r" b="b"/>
            <a:pathLst>
              <a:path w="482203" h="301501">
                <a:moveTo>
                  <a:pt x="0" y="16593"/>
                </a:moveTo>
                <a:cubicBezTo>
                  <a:pt x="66972" y="-13173"/>
                  <a:pt x="133945" y="377"/>
                  <a:pt x="190500" y="31424"/>
                </a:cubicBezTo>
                <a:cubicBezTo>
                  <a:pt x="247055" y="62471"/>
                  <a:pt x="290711" y="148304"/>
                  <a:pt x="339328" y="202874"/>
                </a:cubicBezTo>
                <a:cubicBezTo>
                  <a:pt x="387945" y="257444"/>
                  <a:pt x="430609" y="326897"/>
                  <a:pt x="482203" y="292170"/>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227" name="Straight Connector 226">
            <a:extLst>
              <a:ext uri="{FF2B5EF4-FFF2-40B4-BE49-F238E27FC236}">
                <a16:creationId xmlns:a16="http://schemas.microsoft.com/office/drawing/2014/main" id="{00000000-0008-0000-0000-0000E3000000}"/>
              </a:ext>
            </a:extLst>
          </xdr:cNvPr>
          <xdr:cNvCxnSpPr/>
        </xdr:nvCxnSpPr>
        <xdr:spPr>
          <a:xfrm>
            <a:off x="9999804" y="13613198"/>
            <a:ext cx="0" cy="6917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8" name="Straight Connector 227">
            <a:extLst>
              <a:ext uri="{FF2B5EF4-FFF2-40B4-BE49-F238E27FC236}">
                <a16:creationId xmlns:a16="http://schemas.microsoft.com/office/drawing/2014/main" id="{00000000-0008-0000-0000-0000E4000000}"/>
              </a:ext>
            </a:extLst>
          </xdr:cNvPr>
          <xdr:cNvCxnSpPr/>
        </xdr:nvCxnSpPr>
        <xdr:spPr>
          <a:xfrm>
            <a:off x="9100539" y="13089812"/>
            <a:ext cx="907466" cy="5290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9" name="Freeform: Shape 228">
            <a:extLst>
              <a:ext uri="{FF2B5EF4-FFF2-40B4-BE49-F238E27FC236}">
                <a16:creationId xmlns:a16="http://schemas.microsoft.com/office/drawing/2014/main" id="{00000000-0008-0000-0000-0000E5000000}"/>
              </a:ext>
            </a:extLst>
          </xdr:cNvPr>
          <xdr:cNvSpPr/>
        </xdr:nvSpPr>
        <xdr:spPr>
          <a:xfrm>
            <a:off x="10872364" y="14148575"/>
            <a:ext cx="82764" cy="1326580"/>
          </a:xfrm>
          <a:custGeom>
            <a:avLst/>
            <a:gdLst>
              <a:gd name="connsiteX0" fmla="*/ 4389 w 190562"/>
              <a:gd name="connsiteY0" fmla="*/ 0 h 1333500"/>
              <a:gd name="connsiteX1" fmla="*/ 190560 w 190562"/>
              <a:gd name="connsiteY1" fmla="*/ 515216 h 1333500"/>
              <a:gd name="connsiteX2" fmla="*/ 8719 w 190562"/>
              <a:gd name="connsiteY2" fmla="*/ 1078057 h 1333500"/>
              <a:gd name="connsiteX3" fmla="*/ 17378 w 190562"/>
              <a:gd name="connsiteY3" fmla="*/ 1333500 h 1333500"/>
              <a:gd name="connsiteX0" fmla="*/ 0 w 202461"/>
              <a:gd name="connsiteY0" fmla="*/ 0 h 1333500"/>
              <a:gd name="connsiteX1" fmla="*/ 202406 w 202461"/>
              <a:gd name="connsiteY1" fmla="*/ 515216 h 1333500"/>
              <a:gd name="connsiteX2" fmla="*/ 20565 w 202461"/>
              <a:gd name="connsiteY2" fmla="*/ 1078057 h 1333500"/>
              <a:gd name="connsiteX3" fmla="*/ 29224 w 202461"/>
              <a:gd name="connsiteY3" fmla="*/ 1333500 h 1333500"/>
              <a:gd name="connsiteX0" fmla="*/ 92915 w 131817"/>
              <a:gd name="connsiteY0" fmla="*/ 0 h 1333500"/>
              <a:gd name="connsiteX1" fmla="*/ 46 w 131817"/>
              <a:gd name="connsiteY1" fmla="*/ 562841 h 1333500"/>
              <a:gd name="connsiteX2" fmla="*/ 113480 w 131817"/>
              <a:gd name="connsiteY2" fmla="*/ 1078057 h 1333500"/>
              <a:gd name="connsiteX3" fmla="*/ 122139 w 131817"/>
              <a:gd name="connsiteY3" fmla="*/ 1333500 h 1333500"/>
              <a:gd name="connsiteX0" fmla="*/ 93692 w 188615"/>
              <a:gd name="connsiteY0" fmla="*/ 0 h 1333500"/>
              <a:gd name="connsiteX1" fmla="*/ 823 w 188615"/>
              <a:gd name="connsiteY1" fmla="*/ 562841 h 1333500"/>
              <a:gd name="connsiteX2" fmla="*/ 184773 w 188615"/>
              <a:gd name="connsiteY2" fmla="*/ 1042932 h 1333500"/>
              <a:gd name="connsiteX3" fmla="*/ 122916 w 188615"/>
              <a:gd name="connsiteY3" fmla="*/ 1333500 h 1333500"/>
              <a:gd name="connsiteX0" fmla="*/ 36855 w 129297"/>
              <a:gd name="connsiteY0" fmla="*/ 0 h 1333500"/>
              <a:gd name="connsiteX1" fmla="*/ 1136 w 129297"/>
              <a:gd name="connsiteY1" fmla="*/ 591416 h 1333500"/>
              <a:gd name="connsiteX2" fmla="*/ 127936 w 129297"/>
              <a:gd name="connsiteY2" fmla="*/ 1042932 h 1333500"/>
              <a:gd name="connsiteX3" fmla="*/ 66079 w 129297"/>
              <a:gd name="connsiteY3" fmla="*/ 1333500 h 1333500"/>
              <a:gd name="connsiteX0" fmla="*/ 36001 w 84156"/>
              <a:gd name="connsiteY0" fmla="*/ 0 h 1333500"/>
              <a:gd name="connsiteX1" fmla="*/ 282 w 84156"/>
              <a:gd name="connsiteY1" fmla="*/ 591416 h 1333500"/>
              <a:gd name="connsiteX2" fmla="*/ 79457 w 84156"/>
              <a:gd name="connsiteY2" fmla="*/ 1014357 h 1333500"/>
              <a:gd name="connsiteX3" fmla="*/ 65225 w 84156"/>
              <a:gd name="connsiteY3" fmla="*/ 1333500 h 1333500"/>
            </a:gdLst>
            <a:ahLst/>
            <a:cxnLst>
              <a:cxn ang="0">
                <a:pos x="connsiteX0" y="connsiteY0"/>
              </a:cxn>
              <a:cxn ang="0">
                <a:pos x="connsiteX1" y="connsiteY1"/>
              </a:cxn>
              <a:cxn ang="0">
                <a:pos x="connsiteX2" y="connsiteY2"/>
              </a:cxn>
              <a:cxn ang="0">
                <a:pos x="connsiteX3" y="connsiteY3"/>
              </a:cxn>
            </a:cxnLst>
            <a:rect l="l" t="t" r="r" b="b"/>
            <a:pathLst>
              <a:path w="84156" h="1333500">
                <a:moveTo>
                  <a:pt x="36001" y="0"/>
                </a:moveTo>
                <a:cubicBezTo>
                  <a:pt x="128725" y="167770"/>
                  <a:pt x="-6961" y="422357"/>
                  <a:pt x="282" y="591416"/>
                </a:cubicBezTo>
                <a:cubicBezTo>
                  <a:pt x="7525" y="760476"/>
                  <a:pt x="68633" y="890676"/>
                  <a:pt x="79457" y="1014357"/>
                </a:cubicBezTo>
                <a:cubicBezTo>
                  <a:pt x="90281" y="1138038"/>
                  <a:pt x="81100" y="1249074"/>
                  <a:pt x="65225" y="1333500"/>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xnSp macro="">
        <xdr:nvCxnSpPr>
          <xdr:cNvPr id="230" name="Straight Connector 229">
            <a:extLst>
              <a:ext uri="{FF2B5EF4-FFF2-40B4-BE49-F238E27FC236}">
                <a16:creationId xmlns:a16="http://schemas.microsoft.com/office/drawing/2014/main" id="{00000000-0008-0000-0000-0000E6000000}"/>
              </a:ext>
            </a:extLst>
          </xdr:cNvPr>
          <xdr:cNvCxnSpPr/>
        </xdr:nvCxnSpPr>
        <xdr:spPr>
          <a:xfrm flipH="1">
            <a:off x="8609926" y="14597969"/>
            <a:ext cx="852075" cy="37469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F$45">
        <xdr:nvSpPr>
          <xdr:cNvPr id="231" name="TextBox 230">
            <a:extLst>
              <a:ext uri="{FF2B5EF4-FFF2-40B4-BE49-F238E27FC236}">
                <a16:creationId xmlns:a16="http://schemas.microsoft.com/office/drawing/2014/main" id="{00000000-0008-0000-0000-0000E7000000}"/>
              </a:ext>
            </a:extLst>
          </xdr:cNvPr>
          <xdr:cNvSpPr txBox="1"/>
        </xdr:nvSpPr>
        <xdr:spPr>
          <a:xfrm rot="20154566">
            <a:off x="8597220" y="14620926"/>
            <a:ext cx="750222" cy="20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F9580F7-3556-42BB-A3B3-ACF8A05B8B16}" type="TxLink">
              <a:rPr lang="en-US" sz="1100" b="0" i="0" u="none" strike="noStrike">
                <a:solidFill>
                  <a:srgbClr val="000000"/>
                </a:solidFill>
                <a:latin typeface="Calibri"/>
                <a:cs typeface="Calibri"/>
              </a:rPr>
              <a:pPr algn="ctr"/>
              <a:t>0</a:t>
            </a:fld>
            <a:endParaRPr lang="en-GB" sz="1100"/>
          </a:p>
        </xdr:txBody>
      </xdr:sp>
      <xdr:cxnSp macro="">
        <xdr:nvCxnSpPr>
          <xdr:cNvPr id="232" name="Straight Connector 231">
            <a:extLst>
              <a:ext uri="{FF2B5EF4-FFF2-40B4-BE49-F238E27FC236}">
                <a16:creationId xmlns:a16="http://schemas.microsoft.com/office/drawing/2014/main" id="{00000000-0008-0000-0000-0000E8000000}"/>
              </a:ext>
            </a:extLst>
          </xdr:cNvPr>
          <xdr:cNvCxnSpPr/>
        </xdr:nvCxnSpPr>
        <xdr:spPr>
          <a:xfrm flipH="1">
            <a:off x="8191412" y="14191461"/>
            <a:ext cx="1158833" cy="509595"/>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AL$15">
        <xdr:nvSpPr>
          <xdr:cNvPr id="233" name="TextBox 232">
            <a:extLst>
              <a:ext uri="{FF2B5EF4-FFF2-40B4-BE49-F238E27FC236}">
                <a16:creationId xmlns:a16="http://schemas.microsoft.com/office/drawing/2014/main" id="{00000000-0008-0000-0000-0000E9000000}"/>
              </a:ext>
            </a:extLst>
          </xdr:cNvPr>
          <xdr:cNvSpPr txBox="1"/>
        </xdr:nvSpPr>
        <xdr:spPr>
          <a:xfrm rot="20154566">
            <a:off x="8390821" y="14264092"/>
            <a:ext cx="750222" cy="20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FC7FBE9-B93D-45CB-8308-FA900D570FA8}" type="TxLink">
              <a:rPr lang="en-US" sz="1100" b="0" i="0" u="none" strike="noStrike">
                <a:solidFill>
                  <a:srgbClr val="000000"/>
                </a:solidFill>
                <a:latin typeface="Calibri"/>
                <a:cs typeface="Calibri"/>
              </a:rPr>
              <a:pPr algn="ctr"/>
              <a:t>0</a:t>
            </a:fld>
            <a:endParaRPr lang="en-GB" sz="1100"/>
          </a:p>
        </xdr:txBody>
      </xdr:sp>
      <xdr:cxnSp macro="">
        <xdr:nvCxnSpPr>
          <xdr:cNvPr id="234" name="Straight Connector 233">
            <a:extLst>
              <a:ext uri="{FF2B5EF4-FFF2-40B4-BE49-F238E27FC236}">
                <a16:creationId xmlns:a16="http://schemas.microsoft.com/office/drawing/2014/main" id="{00000000-0008-0000-0000-0000EA000000}"/>
              </a:ext>
            </a:extLst>
          </xdr:cNvPr>
          <xdr:cNvCxnSpPr/>
        </xdr:nvCxnSpPr>
        <xdr:spPr>
          <a:xfrm>
            <a:off x="8603275" y="14921971"/>
            <a:ext cx="106232" cy="6359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5" name="Straight Connector 234">
            <a:extLst>
              <a:ext uri="{FF2B5EF4-FFF2-40B4-BE49-F238E27FC236}">
                <a16:creationId xmlns:a16="http://schemas.microsoft.com/office/drawing/2014/main" id="{00000000-0008-0000-0000-0000EB000000}"/>
              </a:ext>
            </a:extLst>
          </xdr:cNvPr>
          <xdr:cNvCxnSpPr/>
        </xdr:nvCxnSpPr>
        <xdr:spPr>
          <a:xfrm>
            <a:off x="8170330" y="14652494"/>
            <a:ext cx="106232" cy="6359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6" name="Straight Connector 235">
            <a:extLst>
              <a:ext uri="{FF2B5EF4-FFF2-40B4-BE49-F238E27FC236}">
                <a16:creationId xmlns:a16="http://schemas.microsoft.com/office/drawing/2014/main" id="{00000000-0008-0000-0000-0000EC000000}"/>
              </a:ext>
            </a:extLst>
          </xdr:cNvPr>
          <xdr:cNvCxnSpPr/>
        </xdr:nvCxnSpPr>
        <xdr:spPr>
          <a:xfrm>
            <a:off x="9251191" y="14183089"/>
            <a:ext cx="106232" cy="6359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7" name="Straight Connector 236">
            <a:extLst>
              <a:ext uri="{FF2B5EF4-FFF2-40B4-BE49-F238E27FC236}">
                <a16:creationId xmlns:a16="http://schemas.microsoft.com/office/drawing/2014/main" id="{00000000-0008-0000-0000-0000ED000000}"/>
              </a:ext>
            </a:extLst>
          </xdr:cNvPr>
          <xdr:cNvCxnSpPr/>
        </xdr:nvCxnSpPr>
        <xdr:spPr>
          <a:xfrm>
            <a:off x="9358434" y="14592512"/>
            <a:ext cx="106232" cy="63598"/>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8" name="Straight Connector 237">
            <a:extLst>
              <a:ext uri="{FF2B5EF4-FFF2-40B4-BE49-F238E27FC236}">
                <a16:creationId xmlns:a16="http://schemas.microsoft.com/office/drawing/2014/main" id="{00000000-0008-0000-0000-0000EE000000}"/>
              </a:ext>
            </a:extLst>
          </xdr:cNvPr>
          <xdr:cNvCxnSpPr/>
        </xdr:nvCxnSpPr>
        <xdr:spPr>
          <a:xfrm>
            <a:off x="9998972" y="13849278"/>
            <a:ext cx="0" cy="73969"/>
          </a:xfrm>
          <a:prstGeom prst="line">
            <a:avLst/>
          </a:prstGeom>
          <a:ln w="95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39" name="Freeform: Shape 238">
            <a:extLst>
              <a:ext uri="{FF2B5EF4-FFF2-40B4-BE49-F238E27FC236}">
                <a16:creationId xmlns:a16="http://schemas.microsoft.com/office/drawing/2014/main" id="{00000000-0008-0000-0000-0000EF000000}"/>
              </a:ext>
            </a:extLst>
          </xdr:cNvPr>
          <xdr:cNvSpPr/>
        </xdr:nvSpPr>
        <xdr:spPr>
          <a:xfrm>
            <a:off x="8776186" y="13062559"/>
            <a:ext cx="327449" cy="153436"/>
          </a:xfrm>
          <a:custGeom>
            <a:avLst/>
            <a:gdLst>
              <a:gd name="connsiteX0" fmla="*/ 342900 w 342900"/>
              <a:gd name="connsiteY0" fmla="*/ 36348 h 156509"/>
              <a:gd name="connsiteX1" fmla="*/ 175847 w 342900"/>
              <a:gd name="connsiteY1" fmla="*/ 4109 h 156509"/>
              <a:gd name="connsiteX2" fmla="*/ 82062 w 342900"/>
              <a:gd name="connsiteY2" fmla="*/ 118409 h 156509"/>
              <a:gd name="connsiteX3" fmla="*/ 0 w 342900"/>
              <a:gd name="connsiteY3" fmla="*/ 156509 h 156509"/>
              <a:gd name="connsiteX0" fmla="*/ 332956 w 332956"/>
              <a:gd name="connsiteY0" fmla="*/ 36348 h 162371"/>
              <a:gd name="connsiteX1" fmla="*/ 165903 w 332956"/>
              <a:gd name="connsiteY1" fmla="*/ 4109 h 162371"/>
              <a:gd name="connsiteX2" fmla="*/ 72118 w 332956"/>
              <a:gd name="connsiteY2" fmla="*/ 118409 h 162371"/>
              <a:gd name="connsiteX3" fmla="*/ 0 w 332956"/>
              <a:gd name="connsiteY3" fmla="*/ 162371 h 162371"/>
              <a:gd name="connsiteX0" fmla="*/ 332956 w 332956"/>
              <a:gd name="connsiteY0" fmla="*/ 28213 h 154236"/>
              <a:gd name="connsiteX1" fmla="*/ 118278 w 332956"/>
              <a:gd name="connsiteY1" fmla="*/ 5499 h 154236"/>
              <a:gd name="connsiteX2" fmla="*/ 72118 w 332956"/>
              <a:gd name="connsiteY2" fmla="*/ 110274 h 154236"/>
              <a:gd name="connsiteX3" fmla="*/ 0 w 332956"/>
              <a:gd name="connsiteY3" fmla="*/ 154236 h 154236"/>
            </a:gdLst>
            <a:ahLst/>
            <a:cxnLst>
              <a:cxn ang="0">
                <a:pos x="connsiteX0" y="connsiteY0"/>
              </a:cxn>
              <a:cxn ang="0">
                <a:pos x="connsiteX1" y="connsiteY1"/>
              </a:cxn>
              <a:cxn ang="0">
                <a:pos x="connsiteX2" y="connsiteY2"/>
              </a:cxn>
              <a:cxn ang="0">
                <a:pos x="connsiteX3" y="connsiteY3"/>
              </a:cxn>
            </a:cxnLst>
            <a:rect l="l" t="t" r="r" b="b"/>
            <a:pathLst>
              <a:path w="332956" h="154236">
                <a:moveTo>
                  <a:pt x="332956" y="28213"/>
                </a:moveTo>
                <a:cubicBezTo>
                  <a:pt x="271166" y="5255"/>
                  <a:pt x="161751" y="-8178"/>
                  <a:pt x="118278" y="5499"/>
                </a:cubicBezTo>
                <a:cubicBezTo>
                  <a:pt x="74805" y="19176"/>
                  <a:pt x="91831" y="85485"/>
                  <a:pt x="72118" y="110274"/>
                </a:cubicBezTo>
                <a:cubicBezTo>
                  <a:pt x="52405" y="135064"/>
                  <a:pt x="14165" y="124440"/>
                  <a:pt x="0" y="154236"/>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sp macro="" textlink="">
        <xdr:nvSpPr>
          <xdr:cNvPr id="240" name="Freeform: Shape 239">
            <a:extLst>
              <a:ext uri="{FF2B5EF4-FFF2-40B4-BE49-F238E27FC236}">
                <a16:creationId xmlns:a16="http://schemas.microsoft.com/office/drawing/2014/main" id="{00000000-0008-0000-0000-0000F0000000}"/>
              </a:ext>
            </a:extLst>
          </xdr:cNvPr>
          <xdr:cNvSpPr/>
        </xdr:nvSpPr>
        <xdr:spPr>
          <a:xfrm>
            <a:off x="8739542" y="13220327"/>
            <a:ext cx="91457" cy="674992"/>
          </a:xfrm>
          <a:custGeom>
            <a:avLst/>
            <a:gdLst>
              <a:gd name="connsiteX0" fmla="*/ 83946 w 151210"/>
              <a:gd name="connsiteY0" fmla="*/ 0 h 682869"/>
              <a:gd name="connsiteX1" fmla="*/ 148423 w 151210"/>
              <a:gd name="connsiteY1" fmla="*/ 275492 h 682869"/>
              <a:gd name="connsiteX2" fmla="*/ 1885 w 151210"/>
              <a:gd name="connsiteY2" fmla="*/ 492369 h 682869"/>
              <a:gd name="connsiteX3" fmla="*/ 69293 w 151210"/>
              <a:gd name="connsiteY3" fmla="*/ 682869 h 682869"/>
              <a:gd name="connsiteX0" fmla="*/ 102427 w 153878"/>
              <a:gd name="connsiteY0" fmla="*/ 0 h 678513"/>
              <a:gd name="connsiteX1" fmla="*/ 148423 w 153878"/>
              <a:gd name="connsiteY1" fmla="*/ 271136 h 678513"/>
              <a:gd name="connsiteX2" fmla="*/ 1885 w 153878"/>
              <a:gd name="connsiteY2" fmla="*/ 488013 h 678513"/>
              <a:gd name="connsiteX3" fmla="*/ 69293 w 153878"/>
              <a:gd name="connsiteY3" fmla="*/ 678513 h 678513"/>
              <a:gd name="connsiteX0" fmla="*/ 45798 w 92995"/>
              <a:gd name="connsiteY0" fmla="*/ 0 h 678513"/>
              <a:gd name="connsiteX1" fmla="*/ 91794 w 92995"/>
              <a:gd name="connsiteY1" fmla="*/ 271136 h 678513"/>
              <a:gd name="connsiteX2" fmla="*/ 13448 w 92995"/>
              <a:gd name="connsiteY2" fmla="*/ 400646 h 678513"/>
              <a:gd name="connsiteX3" fmla="*/ 12664 w 92995"/>
              <a:gd name="connsiteY3" fmla="*/ 678513 h 678513"/>
            </a:gdLst>
            <a:ahLst/>
            <a:cxnLst>
              <a:cxn ang="0">
                <a:pos x="connsiteX0" y="connsiteY0"/>
              </a:cxn>
              <a:cxn ang="0">
                <a:pos x="connsiteX1" y="connsiteY1"/>
              </a:cxn>
              <a:cxn ang="0">
                <a:pos x="connsiteX2" y="connsiteY2"/>
              </a:cxn>
              <a:cxn ang="0">
                <a:pos x="connsiteX3" y="connsiteY3"/>
              </a:cxn>
            </a:cxnLst>
            <a:rect l="l" t="t" r="r" b="b"/>
            <a:pathLst>
              <a:path w="92995" h="678513">
                <a:moveTo>
                  <a:pt x="45798" y="0"/>
                </a:moveTo>
                <a:cubicBezTo>
                  <a:pt x="84875" y="96715"/>
                  <a:pt x="97186" y="204362"/>
                  <a:pt x="91794" y="271136"/>
                </a:cubicBezTo>
                <a:cubicBezTo>
                  <a:pt x="86402" y="337910"/>
                  <a:pt x="26636" y="332750"/>
                  <a:pt x="13448" y="400646"/>
                </a:cubicBezTo>
                <a:cubicBezTo>
                  <a:pt x="260" y="468542"/>
                  <a:pt x="-8340" y="664348"/>
                  <a:pt x="12664" y="678513"/>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xnSp macro="">
        <xdr:nvCxnSpPr>
          <xdr:cNvPr id="241" name="Straight Connector 240">
            <a:extLst>
              <a:ext uri="{FF2B5EF4-FFF2-40B4-BE49-F238E27FC236}">
                <a16:creationId xmlns:a16="http://schemas.microsoft.com/office/drawing/2014/main" id="{00000000-0008-0000-0000-0000F1000000}"/>
              </a:ext>
            </a:extLst>
          </xdr:cNvPr>
          <xdr:cNvCxnSpPr/>
        </xdr:nvCxnSpPr>
        <xdr:spPr>
          <a:xfrm flipV="1">
            <a:off x="9461560" y="14065217"/>
            <a:ext cx="546445" cy="234019"/>
          </a:xfrm>
          <a:prstGeom prst="line">
            <a:avLst/>
          </a:prstGeom>
          <a:ln w="12700">
            <a:solidFill>
              <a:schemeClr val="bg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42" name="Straight Connector 241">
            <a:extLst>
              <a:ext uri="{FF2B5EF4-FFF2-40B4-BE49-F238E27FC236}">
                <a16:creationId xmlns:a16="http://schemas.microsoft.com/office/drawing/2014/main" id="{00000000-0008-0000-0000-0000F2000000}"/>
              </a:ext>
            </a:extLst>
          </xdr:cNvPr>
          <xdr:cNvCxnSpPr>
            <a:endCxn id="199" idx="0"/>
          </xdr:cNvCxnSpPr>
        </xdr:nvCxnSpPr>
        <xdr:spPr>
          <a:xfrm flipV="1">
            <a:off x="9998972" y="13873999"/>
            <a:ext cx="432290" cy="1912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7268019" y="13738834"/>
            <a:ext cx="1271401" cy="318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l-PL" sz="1100"/>
              <a:t>Supported beam</a:t>
            </a:r>
            <a:endParaRPr lang="en-GB" sz="1100"/>
          </a:p>
        </xdr:txBody>
      </xdr:sp>
      <xdr:cxnSp macro="">
        <xdr:nvCxnSpPr>
          <xdr:cNvPr id="265" name="Straight Connector 264">
            <a:extLst>
              <a:ext uri="{FF2B5EF4-FFF2-40B4-BE49-F238E27FC236}">
                <a16:creationId xmlns:a16="http://schemas.microsoft.com/office/drawing/2014/main" id="{00000000-0008-0000-0000-000009010000}"/>
              </a:ext>
            </a:extLst>
          </xdr:cNvPr>
          <xdr:cNvCxnSpPr>
            <a:stCxn id="264" idx="3"/>
          </xdr:cNvCxnSpPr>
        </xdr:nvCxnSpPr>
        <xdr:spPr>
          <a:xfrm flipV="1">
            <a:off x="8539420" y="13716000"/>
            <a:ext cx="547430" cy="182083"/>
          </a:xfrm>
          <a:prstGeom prst="line">
            <a:avLst/>
          </a:prstGeom>
          <a:ln w="9525">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AK$19">
        <xdr:nvSpPr>
          <xdr:cNvPr id="266" name="TextBox 265">
            <a:extLst>
              <a:ext uri="{FF2B5EF4-FFF2-40B4-BE49-F238E27FC236}">
                <a16:creationId xmlns:a16="http://schemas.microsoft.com/office/drawing/2014/main" id="{00000000-0008-0000-0000-00000A010000}"/>
              </a:ext>
            </a:extLst>
          </xdr:cNvPr>
          <xdr:cNvSpPr txBox="1"/>
        </xdr:nvSpPr>
        <xdr:spPr>
          <a:xfrm>
            <a:off x="6781801" y="13990656"/>
            <a:ext cx="1757620" cy="29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8482D6F-9D4C-447C-A913-04BCBB3429BD}" type="TxLink">
              <a:rPr lang="en-US" sz="1100" b="0" i="0" u="none" strike="noStrike">
                <a:solidFill>
                  <a:srgbClr val="000000"/>
                </a:solidFill>
                <a:latin typeface="Calibri"/>
                <a:cs typeface="Calibri"/>
              </a:rPr>
              <a:pPr algn="r"/>
              <a:t>440 x 215 x 215 Spreader</a:t>
            </a:fld>
            <a:endParaRPr lang="en-GB" sz="1100"/>
          </a:p>
        </xdr:txBody>
      </xdr:sp>
      <xdr:cxnSp macro="">
        <xdr:nvCxnSpPr>
          <xdr:cNvPr id="267" name="Straight Connector 266">
            <a:extLst>
              <a:ext uri="{FF2B5EF4-FFF2-40B4-BE49-F238E27FC236}">
                <a16:creationId xmlns:a16="http://schemas.microsoft.com/office/drawing/2014/main" id="{00000000-0008-0000-0000-00000B010000}"/>
              </a:ext>
            </a:extLst>
          </xdr:cNvPr>
          <xdr:cNvCxnSpPr>
            <a:stCxn id="266" idx="3"/>
          </xdr:cNvCxnSpPr>
        </xdr:nvCxnSpPr>
        <xdr:spPr>
          <a:xfrm>
            <a:off x="8539421" y="14139001"/>
            <a:ext cx="833179" cy="281849"/>
          </a:xfrm>
          <a:prstGeom prst="line">
            <a:avLst/>
          </a:prstGeom>
          <a:ln w="9525">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14</xdr:col>
      <xdr:colOff>38099</xdr:colOff>
      <xdr:row>7</xdr:row>
      <xdr:rowOff>206186</xdr:rowOff>
    </xdr:from>
    <xdr:to>
      <xdr:col>14</xdr:col>
      <xdr:colOff>171450</xdr:colOff>
      <xdr:row>9</xdr:row>
      <xdr:rowOff>0</xdr:rowOff>
    </xdr:to>
    <xdr:sp macro="[0]!HelpBox0" textlink="">
      <xdr:nvSpPr>
        <xdr:cNvPr id="271" name="TextBox 270">
          <a:extLst>
            <a:ext uri="{FF2B5EF4-FFF2-40B4-BE49-F238E27FC236}">
              <a16:creationId xmlns:a16="http://schemas.microsoft.com/office/drawing/2014/main" id="{00000000-0008-0000-0000-00000F010000}"/>
            </a:ext>
          </a:extLst>
        </xdr:cNvPr>
        <xdr:cNvSpPr txBox="1"/>
      </xdr:nvSpPr>
      <xdr:spPr>
        <a:xfrm>
          <a:off x="4733924" y="184448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15</xdr:row>
      <xdr:rowOff>0</xdr:rowOff>
    </xdr:from>
    <xdr:to>
      <xdr:col>14</xdr:col>
      <xdr:colOff>171450</xdr:colOff>
      <xdr:row>16</xdr:row>
      <xdr:rowOff>3364</xdr:rowOff>
    </xdr:to>
    <xdr:sp macro="[0]!HelpBox8" textlink="">
      <xdr:nvSpPr>
        <xdr:cNvPr id="272" name="TextBox 271">
          <a:extLst>
            <a:ext uri="{FF2B5EF4-FFF2-40B4-BE49-F238E27FC236}">
              <a16:creationId xmlns:a16="http://schemas.microsoft.com/office/drawing/2014/main" id="{00000000-0008-0000-0000-000010010000}"/>
            </a:ext>
          </a:extLst>
        </xdr:cNvPr>
        <xdr:cNvSpPr txBox="1"/>
      </xdr:nvSpPr>
      <xdr:spPr>
        <a:xfrm>
          <a:off x="4733924" y="3314700"/>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38099</xdr:colOff>
      <xdr:row>15</xdr:row>
      <xdr:rowOff>206186</xdr:rowOff>
    </xdr:from>
    <xdr:to>
      <xdr:col>14</xdr:col>
      <xdr:colOff>171450</xdr:colOff>
      <xdr:row>17</xdr:row>
      <xdr:rowOff>0</xdr:rowOff>
    </xdr:to>
    <xdr:sp macro="[0]!HelpBox9" textlink="">
      <xdr:nvSpPr>
        <xdr:cNvPr id="273" name="TextBox 272">
          <a:extLst>
            <a:ext uri="{FF2B5EF4-FFF2-40B4-BE49-F238E27FC236}">
              <a16:creationId xmlns:a16="http://schemas.microsoft.com/office/drawing/2014/main" id="{00000000-0008-0000-0000-000011010000}"/>
            </a:ext>
          </a:extLst>
        </xdr:cNvPr>
        <xdr:cNvSpPr txBox="1"/>
      </xdr:nvSpPr>
      <xdr:spPr>
        <a:xfrm>
          <a:off x="4733924" y="3520886"/>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28</xdr:col>
      <xdr:colOff>19049</xdr:colOff>
      <xdr:row>36</xdr:row>
      <xdr:rowOff>205530</xdr:rowOff>
    </xdr:from>
    <xdr:to>
      <xdr:col>29</xdr:col>
      <xdr:colOff>0</xdr:colOff>
      <xdr:row>38</xdr:row>
      <xdr:rowOff>0</xdr:rowOff>
    </xdr:to>
    <xdr:sp macro="[0]!HelpBox12" textlink="">
      <xdr:nvSpPr>
        <xdr:cNvPr id="274" name="TextBox 273">
          <a:extLst>
            <a:ext uri="{FF2B5EF4-FFF2-40B4-BE49-F238E27FC236}">
              <a16:creationId xmlns:a16="http://schemas.microsoft.com/office/drawing/2014/main" id="{00000000-0008-0000-0000-000012010000}"/>
            </a:ext>
          </a:extLst>
        </xdr:cNvPr>
        <xdr:cNvSpPr txBox="1"/>
      </xdr:nvSpPr>
      <xdr:spPr>
        <a:xfrm>
          <a:off x="9667874" y="7920780"/>
          <a:ext cx="133351" cy="21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absolute">
    <xdr:from>
      <xdr:col>47</xdr:col>
      <xdr:colOff>0</xdr:colOff>
      <xdr:row>7</xdr:row>
      <xdr:rowOff>0</xdr:rowOff>
    </xdr:from>
    <xdr:to>
      <xdr:col>51</xdr:col>
      <xdr:colOff>1058</xdr:colOff>
      <xdr:row>13</xdr:row>
      <xdr:rowOff>0</xdr:rowOff>
    </xdr:to>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0029825" y="1638300"/>
          <a:ext cx="2725208" cy="125730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b="1">
              <a:solidFill>
                <a:srgbClr val="FF0000"/>
              </a:solidFill>
            </a:rPr>
            <a:t>NOTE</a:t>
          </a:r>
          <a:r>
            <a:rPr lang="pl-PL" sz="1100" b="1">
              <a:solidFill>
                <a:srgbClr val="FF0000"/>
              </a:solidFill>
            </a:rPr>
            <a:t>:</a:t>
          </a:r>
          <a:r>
            <a:rPr lang="en-GB" sz="1100" b="1">
              <a:solidFill>
                <a:srgbClr val="FF0000"/>
              </a:solidFill>
            </a:rPr>
            <a:t> </a:t>
          </a:r>
          <a:r>
            <a:rPr lang="en-GB" sz="1100">
              <a:solidFill>
                <a:schemeClr val="dk1"/>
              </a:solidFill>
              <a:effectLst/>
              <a:latin typeface="+mn-lt"/>
              <a:ea typeface="+mn-ea"/>
              <a:cs typeface="+mn-cs"/>
            </a:rPr>
            <a:t>In this </a:t>
          </a:r>
          <a:r>
            <a:rPr lang="pl-PL" sz="1100">
              <a:solidFill>
                <a:schemeClr val="dk1"/>
              </a:solidFill>
              <a:effectLst/>
              <a:latin typeface="+mn-lt"/>
              <a:ea typeface="+mn-ea"/>
              <a:cs typeface="+mn-cs"/>
            </a:rPr>
            <a:t>FREE L</a:t>
          </a:r>
          <a:r>
            <a:rPr lang="en-GB" sz="1100">
              <a:solidFill>
                <a:schemeClr val="dk1"/>
              </a:solidFill>
              <a:effectLst/>
              <a:latin typeface="+mn-lt"/>
              <a:ea typeface="+mn-ea"/>
              <a:cs typeface="+mn-cs"/>
            </a:rPr>
            <a:t>ite version you cannot change the company logo nor company information. Also, cells marked with this colour</a:t>
          </a:r>
          <a:r>
            <a:rPr lang="en-GB" sz="1100" baseline="0">
              <a:solidFill>
                <a:schemeClr val="dk1"/>
              </a:solidFill>
              <a:effectLst/>
              <a:latin typeface="+mn-lt"/>
              <a:ea typeface="+mn-ea"/>
              <a:cs typeface="+mn-cs"/>
            </a:rPr>
            <a:t> are locked:</a:t>
          </a:r>
          <a:endParaRPr lang="en-GB">
            <a:effectLst/>
          </a:endParaRPr>
        </a:p>
      </xdr:txBody>
    </xdr:sp>
    <xdr:clientData/>
  </xdr:twoCellAnchor>
  <xdr:twoCellAnchor editAs="absolute">
    <xdr:from>
      <xdr:col>47</xdr:col>
      <xdr:colOff>95250</xdr:colOff>
      <xdr:row>10</xdr:row>
      <xdr:rowOff>180974</xdr:rowOff>
    </xdr:from>
    <xdr:to>
      <xdr:col>48</xdr:col>
      <xdr:colOff>229508</xdr:colOff>
      <xdr:row>12</xdr:row>
      <xdr:rowOff>52916</xdr:rowOff>
    </xdr:to>
    <xdr:sp macro="" textlink="">
      <xdr:nvSpPr>
        <xdr:cNvPr id="276" name="Rectangle 275">
          <a:extLst>
            <a:ext uri="{FF2B5EF4-FFF2-40B4-BE49-F238E27FC236}">
              <a16:creationId xmlns:a16="http://schemas.microsoft.com/office/drawing/2014/main" id="{00000000-0008-0000-0000-000014010000}"/>
            </a:ext>
          </a:extLst>
        </xdr:cNvPr>
        <xdr:cNvSpPr/>
      </xdr:nvSpPr>
      <xdr:spPr>
        <a:xfrm>
          <a:off x="10125075" y="2447924"/>
          <a:ext cx="829583" cy="291042"/>
        </a:xfrm>
        <a:prstGeom prst="rect">
          <a:avLst/>
        </a:prstGeom>
        <a:solidFill>
          <a:srgbClr val="CCFF33"/>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48</xdr:col>
      <xdr:colOff>315233</xdr:colOff>
      <xdr:row>10</xdr:row>
      <xdr:rowOff>200025</xdr:rowOff>
    </xdr:from>
    <xdr:to>
      <xdr:col>49</xdr:col>
      <xdr:colOff>517375</xdr:colOff>
      <xdr:row>12</xdr:row>
      <xdr:rowOff>33866</xdr:rowOff>
    </xdr:to>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1040383" y="2466975"/>
          <a:ext cx="897467" cy="252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LOCKED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rspreadsheets.co.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autoPageBreaks="0"/>
  </sheetPr>
  <dimension ref="A1:AV68"/>
  <sheetViews>
    <sheetView showGridLines="0" topLeftCell="A16" zoomScaleNormal="100" workbookViewId="0">
      <selection activeCell="AA47" sqref="AA47:AB47"/>
    </sheetView>
  </sheetViews>
  <sheetFormatPr defaultColWidth="9.140625" defaultRowHeight="15"/>
  <cols>
    <col min="1" max="1" width="2.5703125" style="3" customWidth="1"/>
    <col min="2" max="2" width="1.7109375" style="3" customWidth="1"/>
    <col min="3" max="4" width="4.85546875" style="3" customWidth="1"/>
    <col min="5" max="14" width="4.7109375" style="3" customWidth="1"/>
    <col min="15" max="15" width="3.28515625" style="3" customWidth="1"/>
    <col min="16" max="25" width="4.7109375" style="3" customWidth="1"/>
    <col min="26" max="28" width="4.7109375" style="18" customWidth="1"/>
    <col min="29" max="29" width="2" style="18" customWidth="1"/>
    <col min="30" max="33" width="9.140625" style="18" hidden="1" customWidth="1"/>
    <col min="34" max="37" width="9.140625" style="3" hidden="1" customWidth="1"/>
    <col min="38" max="38" width="9.42578125" style="3" hidden="1" customWidth="1"/>
    <col min="39" max="39" width="11.42578125" style="3" hidden="1" customWidth="1"/>
    <col min="40" max="41" width="9.42578125" style="3" hidden="1" customWidth="1"/>
    <col min="42" max="46" width="9.140625" style="3" hidden="1" customWidth="1"/>
    <col min="47" max="47" width="3" style="3" customWidth="1"/>
    <col min="48" max="16384" width="9.140625" style="3"/>
  </cols>
  <sheetData>
    <row r="1" spans="1:48" ht="15" customHeight="1">
      <c r="A1" s="1"/>
      <c r="B1" s="302" t="s">
        <v>64</v>
      </c>
      <c r="C1" s="302"/>
      <c r="D1" s="302"/>
      <c r="E1" s="302"/>
      <c r="F1" s="302"/>
      <c r="G1" s="302"/>
      <c r="H1" s="302"/>
      <c r="I1" s="302"/>
      <c r="J1" s="302"/>
      <c r="K1" s="302"/>
      <c r="L1" s="302"/>
      <c r="M1" s="302"/>
      <c r="N1" s="302"/>
      <c r="O1" s="302"/>
      <c r="P1" s="302"/>
      <c r="Q1" s="303" t="s">
        <v>65</v>
      </c>
      <c r="R1" s="303"/>
      <c r="S1" s="303"/>
      <c r="T1" s="303"/>
      <c r="U1" s="303"/>
      <c r="V1" s="303"/>
      <c r="W1" s="303"/>
      <c r="X1" s="303"/>
      <c r="Y1" s="303"/>
      <c r="Z1" s="303"/>
      <c r="AA1" s="303"/>
      <c r="AB1" s="303"/>
      <c r="AC1" s="303"/>
      <c r="AD1" s="2"/>
      <c r="AE1" s="2"/>
      <c r="AF1" s="2"/>
      <c r="AG1" s="3"/>
    </row>
    <row r="2" spans="1:48" ht="19.5" customHeight="1">
      <c r="A2" s="1"/>
      <c r="B2" s="149"/>
      <c r="C2" s="150"/>
      <c r="D2" s="150"/>
      <c r="E2" s="304" t="s">
        <v>66</v>
      </c>
      <c r="F2" s="304"/>
      <c r="G2" s="304"/>
      <c r="H2" s="304"/>
      <c r="I2" s="304"/>
      <c r="J2" s="304"/>
      <c r="K2" s="304"/>
      <c r="L2" s="304"/>
      <c r="M2" s="304"/>
      <c r="N2" s="304"/>
      <c r="O2" s="304"/>
      <c r="P2" s="307" t="s">
        <v>67</v>
      </c>
      <c r="Q2" s="308"/>
      <c r="R2" s="308"/>
      <c r="S2" s="308"/>
      <c r="T2" s="308"/>
      <c r="U2" s="308"/>
      <c r="V2" s="308"/>
      <c r="W2" s="311"/>
      <c r="X2" s="311"/>
      <c r="Y2" s="311"/>
      <c r="Z2" s="311"/>
      <c r="AA2" s="311"/>
      <c r="AB2" s="311"/>
      <c r="AC2" s="4"/>
      <c r="AD2" s="5"/>
      <c r="AE2" s="5"/>
      <c r="AF2" s="5"/>
      <c r="AG2" s="6"/>
    </row>
    <row r="3" spans="1:48" ht="19.5" customHeight="1">
      <c r="A3" s="1"/>
      <c r="B3" s="151"/>
      <c r="C3" s="152"/>
      <c r="D3" s="152"/>
      <c r="E3" s="305"/>
      <c r="F3" s="305"/>
      <c r="G3" s="305"/>
      <c r="H3" s="305"/>
      <c r="I3" s="305"/>
      <c r="J3" s="305"/>
      <c r="K3" s="305"/>
      <c r="L3" s="305"/>
      <c r="M3" s="305"/>
      <c r="N3" s="305"/>
      <c r="O3" s="305"/>
      <c r="P3" s="309"/>
      <c r="Q3" s="310"/>
      <c r="R3" s="310"/>
      <c r="S3" s="310"/>
      <c r="T3" s="310"/>
      <c r="U3" s="310"/>
      <c r="V3" s="310"/>
      <c r="W3" s="272" t="s">
        <v>68</v>
      </c>
      <c r="X3" s="273"/>
      <c r="Y3" s="277"/>
      <c r="Z3" s="312" t="s">
        <v>69</v>
      </c>
      <c r="AA3" s="313"/>
      <c r="AB3" s="313"/>
      <c r="AC3" s="314"/>
      <c r="AD3" s="5"/>
      <c r="AE3" s="5"/>
      <c r="AF3" s="5"/>
      <c r="AG3" s="7"/>
    </row>
    <row r="4" spans="1:48" ht="19.5" customHeight="1">
      <c r="A4" s="1"/>
      <c r="B4" s="151"/>
      <c r="C4" s="129"/>
      <c r="D4" s="129"/>
      <c r="E4" s="305"/>
      <c r="F4" s="305"/>
      <c r="G4" s="305"/>
      <c r="H4" s="305"/>
      <c r="I4" s="305"/>
      <c r="J4" s="305"/>
      <c r="K4" s="305"/>
      <c r="L4" s="305"/>
      <c r="M4" s="305"/>
      <c r="N4" s="305"/>
      <c r="O4" s="305"/>
      <c r="P4" s="309"/>
      <c r="Q4" s="310"/>
      <c r="R4" s="310"/>
      <c r="S4" s="310"/>
      <c r="T4" s="310"/>
      <c r="U4" s="310"/>
      <c r="V4" s="310"/>
      <c r="W4" s="272" t="s">
        <v>70</v>
      </c>
      <c r="X4" s="273"/>
      <c r="Y4" s="277"/>
      <c r="Z4" s="315">
        <v>12</v>
      </c>
      <c r="AA4" s="316"/>
      <c r="AB4" s="316"/>
      <c r="AC4" s="317"/>
      <c r="AD4" s="5"/>
      <c r="AE4" s="5"/>
      <c r="AF4" s="5"/>
      <c r="AG4" s="8"/>
    </row>
    <row r="5" spans="1:48" ht="19.5" customHeight="1">
      <c r="A5" s="1"/>
      <c r="B5" s="9"/>
      <c r="C5" s="49"/>
      <c r="D5" s="49"/>
      <c r="E5" s="306"/>
      <c r="F5" s="306"/>
      <c r="G5" s="306"/>
      <c r="H5" s="306"/>
      <c r="I5" s="306"/>
      <c r="J5" s="306"/>
      <c r="K5" s="306"/>
      <c r="L5" s="306"/>
      <c r="M5" s="306"/>
      <c r="N5" s="306"/>
      <c r="O5" s="306"/>
      <c r="P5" s="272" t="s">
        <v>71</v>
      </c>
      <c r="Q5" s="273"/>
      <c r="R5" s="273"/>
      <c r="S5" s="274">
        <v>22813</v>
      </c>
      <c r="T5" s="275"/>
      <c r="U5" s="275"/>
      <c r="V5" s="276"/>
      <c r="W5" s="272" t="s">
        <v>72</v>
      </c>
      <c r="X5" s="273"/>
      <c r="Y5" s="277"/>
      <c r="Z5" s="263">
        <f ca="1">TODAY()</f>
        <v>43271</v>
      </c>
      <c r="AA5" s="264"/>
      <c r="AB5" s="264"/>
      <c r="AC5" s="265"/>
      <c r="AD5" s="5"/>
      <c r="AE5" s="5"/>
      <c r="AF5" s="5"/>
      <c r="AG5" s="8"/>
    </row>
    <row r="6" spans="1:48" ht="20.100000000000001" customHeight="1">
      <c r="A6" s="1"/>
      <c r="B6" s="10"/>
      <c r="C6" s="290" t="s">
        <v>73</v>
      </c>
      <c r="D6" s="291"/>
      <c r="E6" s="292" t="s">
        <v>113</v>
      </c>
      <c r="F6" s="293"/>
      <c r="G6" s="293"/>
      <c r="H6" s="293"/>
      <c r="I6" s="293"/>
      <c r="J6" s="293"/>
      <c r="K6" s="293"/>
      <c r="L6" s="293"/>
      <c r="M6" s="293"/>
      <c r="N6" s="293"/>
      <c r="O6" s="293"/>
      <c r="P6" s="272" t="s">
        <v>74</v>
      </c>
      <c r="Q6" s="273"/>
      <c r="R6" s="273"/>
      <c r="S6" s="274" t="s">
        <v>75</v>
      </c>
      <c r="T6" s="275"/>
      <c r="U6" s="275"/>
      <c r="V6" s="276"/>
      <c r="W6" s="272" t="s">
        <v>76</v>
      </c>
      <c r="X6" s="273"/>
      <c r="Y6" s="277"/>
      <c r="Z6" s="263" t="s">
        <v>75</v>
      </c>
      <c r="AA6" s="264"/>
      <c r="AB6" s="264"/>
      <c r="AC6" s="265"/>
      <c r="AD6" s="11"/>
      <c r="AE6" s="11"/>
      <c r="AF6" s="11"/>
      <c r="AG6" s="11"/>
    </row>
    <row r="7" spans="1:48" ht="17.100000000000001" customHeight="1">
      <c r="B7" s="10"/>
      <c r="C7" s="12"/>
      <c r="D7" s="12"/>
      <c r="E7" s="13"/>
      <c r="F7" s="13"/>
      <c r="G7" s="13"/>
      <c r="H7" s="13"/>
      <c r="I7" s="13"/>
      <c r="J7" s="13"/>
      <c r="K7" s="13"/>
      <c r="L7" s="13"/>
      <c r="M7" s="13"/>
      <c r="N7" s="13"/>
      <c r="O7" s="13"/>
      <c r="P7" s="13"/>
      <c r="Q7" s="13"/>
      <c r="R7" s="13"/>
      <c r="S7" s="13"/>
      <c r="T7" s="13"/>
      <c r="U7" s="13"/>
      <c r="V7" s="13"/>
      <c r="W7" s="13"/>
      <c r="X7" s="13"/>
      <c r="Y7" s="13"/>
      <c r="Z7" s="14"/>
      <c r="AA7" s="14"/>
      <c r="AB7" s="14"/>
      <c r="AC7" s="15"/>
      <c r="AD7" s="16"/>
      <c r="AE7" s="16"/>
      <c r="AF7" s="16"/>
      <c r="AG7" s="16"/>
    </row>
    <row r="8" spans="1:48" ht="17.100000000000001" customHeight="1">
      <c r="B8" s="10"/>
      <c r="C8" s="164" t="s">
        <v>77</v>
      </c>
      <c r="D8" s="165"/>
      <c r="E8" s="165"/>
      <c r="F8" s="165"/>
      <c r="G8" s="165"/>
      <c r="H8" s="165"/>
      <c r="I8" s="165"/>
      <c r="J8" s="165"/>
      <c r="K8" s="165"/>
      <c r="L8" s="165"/>
      <c r="M8" s="165"/>
      <c r="N8" s="166"/>
      <c r="O8" s="17"/>
      <c r="P8" s="164" t="s">
        <v>96</v>
      </c>
      <c r="Q8" s="165"/>
      <c r="R8" s="165"/>
      <c r="S8" s="165"/>
      <c r="T8" s="165"/>
      <c r="U8" s="165"/>
      <c r="V8" s="165"/>
      <c r="W8" s="165"/>
      <c r="X8" s="165"/>
      <c r="Y8" s="165"/>
      <c r="Z8" s="165"/>
      <c r="AA8" s="165"/>
      <c r="AB8" s="166"/>
      <c r="AC8" s="15"/>
      <c r="AD8" s="53"/>
      <c r="AE8" s="57"/>
      <c r="AF8" s="55">
        <f>MATCH($F$9,$AF$9:$AK$9,0)</f>
        <v>3</v>
      </c>
      <c r="AG8" s="55"/>
      <c r="AH8" s="55"/>
      <c r="AI8" s="55"/>
      <c r="AJ8" s="55"/>
      <c r="AK8" s="55"/>
      <c r="AL8" s="55"/>
      <c r="AM8" s="55"/>
      <c r="AN8" s="55"/>
      <c r="AO8" s="55"/>
      <c r="AP8" s="55"/>
      <c r="AQ8" s="55"/>
      <c r="AR8" s="55"/>
      <c r="AS8" s="55"/>
      <c r="AT8" s="55"/>
      <c r="AU8" s="55"/>
      <c r="AV8" s="55"/>
    </row>
    <row r="9" spans="1:48" ht="17.100000000000001" customHeight="1">
      <c r="B9" s="10"/>
      <c r="C9" s="229" t="s">
        <v>0</v>
      </c>
      <c r="D9" s="230"/>
      <c r="E9" s="230"/>
      <c r="F9" s="241" t="s">
        <v>90</v>
      </c>
      <c r="G9" s="241"/>
      <c r="H9" s="241"/>
      <c r="I9" s="241"/>
      <c r="J9" s="241"/>
      <c r="K9" s="241"/>
      <c r="L9" s="241"/>
      <c r="M9" s="241"/>
      <c r="N9" s="242"/>
      <c r="O9" s="17"/>
      <c r="P9" s="259" t="s">
        <v>179</v>
      </c>
      <c r="Q9" s="260"/>
      <c r="R9" s="260"/>
      <c r="S9" s="260"/>
      <c r="T9" s="260"/>
      <c r="U9" s="260"/>
      <c r="V9" s="260"/>
      <c r="W9" s="260"/>
      <c r="X9" s="260"/>
      <c r="Y9" s="260"/>
      <c r="Z9" s="254" t="s">
        <v>9</v>
      </c>
      <c r="AA9" s="254"/>
      <c r="AB9" s="255"/>
      <c r="AC9" s="15"/>
      <c r="AD9" s="53"/>
      <c r="AE9" s="54"/>
      <c r="AF9" s="53" t="s">
        <v>4</v>
      </c>
      <c r="AG9" s="53" t="s">
        <v>5</v>
      </c>
      <c r="AH9" s="53" t="s">
        <v>90</v>
      </c>
      <c r="AI9" s="53" t="s">
        <v>91</v>
      </c>
      <c r="AJ9" s="53" t="s">
        <v>6</v>
      </c>
      <c r="AK9" s="53" t="s">
        <v>7</v>
      </c>
      <c r="AL9" s="55"/>
      <c r="AM9" s="55"/>
      <c r="AN9" s="55"/>
      <c r="AO9" s="55"/>
      <c r="AP9" s="55"/>
      <c r="AQ9" s="55"/>
      <c r="AR9" s="55"/>
      <c r="AS9" s="55"/>
      <c r="AT9" s="55"/>
      <c r="AU9" s="55"/>
      <c r="AV9" s="55"/>
    </row>
    <row r="10" spans="1:48" ht="17.100000000000001" customHeight="1">
      <c r="B10" s="10"/>
      <c r="C10" s="231" t="s">
        <v>95</v>
      </c>
      <c r="D10" s="232"/>
      <c r="E10" s="232"/>
      <c r="F10" s="298" t="s">
        <v>105</v>
      </c>
      <c r="G10" s="298"/>
      <c r="H10" s="298"/>
      <c r="I10" s="298"/>
      <c r="J10" s="298"/>
      <c r="K10" s="298"/>
      <c r="L10" s="298"/>
      <c r="M10" s="298"/>
      <c r="N10" s="299"/>
      <c r="O10" s="17"/>
      <c r="P10" s="281" t="s">
        <v>180</v>
      </c>
      <c r="Q10" s="282"/>
      <c r="R10" s="282"/>
      <c r="S10" s="282"/>
      <c r="T10" s="282"/>
      <c r="U10" s="282"/>
      <c r="V10" s="282"/>
      <c r="W10" s="282"/>
      <c r="X10" s="282"/>
      <c r="Y10" s="282"/>
      <c r="Z10" s="235" t="s">
        <v>14</v>
      </c>
      <c r="AA10" s="235"/>
      <c r="AB10" s="236"/>
      <c r="AC10" s="15"/>
      <c r="AD10" s="53"/>
      <c r="AE10" s="54"/>
      <c r="AF10" s="56" t="s">
        <v>104</v>
      </c>
      <c r="AG10" s="56" t="s">
        <v>105</v>
      </c>
      <c r="AH10" s="55"/>
      <c r="AI10" s="55"/>
      <c r="AJ10" s="55"/>
      <c r="AK10" s="55"/>
      <c r="AL10" s="55"/>
      <c r="AM10" s="55"/>
      <c r="AN10" s="55"/>
      <c r="AO10" s="55"/>
      <c r="AP10" s="55"/>
      <c r="AQ10" s="55"/>
      <c r="AR10" s="55"/>
      <c r="AS10" s="55"/>
      <c r="AT10" s="55"/>
      <c r="AU10" s="55"/>
      <c r="AV10" s="55"/>
    </row>
    <row r="11" spans="1:48" ht="17.100000000000001" customHeight="1">
      <c r="B11" s="10"/>
      <c r="C11" s="243" t="s">
        <v>1</v>
      </c>
      <c r="D11" s="232"/>
      <c r="E11" s="232"/>
      <c r="F11" s="232"/>
      <c r="G11" s="232"/>
      <c r="H11" s="232"/>
      <c r="I11" s="232"/>
      <c r="J11" s="232"/>
      <c r="K11" s="232"/>
      <c r="L11" s="232"/>
      <c r="M11" s="244" t="s">
        <v>2</v>
      </c>
      <c r="N11" s="245"/>
      <c r="O11" s="17"/>
      <c r="P11" s="283" t="s">
        <v>171</v>
      </c>
      <c r="Q11" s="284"/>
      <c r="R11" s="284"/>
      <c r="S11" s="284"/>
      <c r="T11" s="284"/>
      <c r="U11" s="284"/>
      <c r="V11" s="284"/>
      <c r="W11" s="284"/>
      <c r="X11" s="284"/>
      <c r="Y11" s="284"/>
      <c r="Z11" s="285">
        <f>VLOOKUP(Z9,AJ27:AL28,IF(Z10="Special",2,3),FALSE)</f>
        <v>3.5</v>
      </c>
      <c r="AA11" s="285"/>
      <c r="AB11" s="286"/>
      <c r="AC11" s="15"/>
      <c r="AD11" s="53"/>
      <c r="AE11" s="54"/>
      <c r="AF11" s="55" t="s">
        <v>2</v>
      </c>
      <c r="AG11" s="55" t="s">
        <v>3</v>
      </c>
      <c r="AH11" s="55"/>
      <c r="AI11" s="55"/>
      <c r="AJ11" s="55"/>
      <c r="AK11" s="59"/>
      <c r="AL11" s="55"/>
      <c r="AM11" s="55"/>
      <c r="AN11" s="55"/>
      <c r="AO11" s="55"/>
      <c r="AP11" s="55"/>
      <c r="AQ11" s="55"/>
      <c r="AR11" s="55"/>
      <c r="AS11" s="55"/>
      <c r="AT11" s="55"/>
      <c r="AU11" s="55"/>
      <c r="AV11" s="55"/>
    </row>
    <row r="12" spans="1:48" ht="17.100000000000001" customHeight="1">
      <c r="B12" s="10"/>
      <c r="C12" s="231" t="s">
        <v>93</v>
      </c>
      <c r="D12" s="232"/>
      <c r="E12" s="232"/>
      <c r="F12" s="232"/>
      <c r="G12" s="232"/>
      <c r="H12" s="232"/>
      <c r="I12" s="232"/>
      <c r="J12" s="232"/>
      <c r="K12" s="232"/>
      <c r="L12" s="232"/>
      <c r="M12" s="246">
        <v>215</v>
      </c>
      <c r="N12" s="247"/>
      <c r="O12" s="17"/>
      <c r="P12" s="17"/>
      <c r="Q12" s="17"/>
      <c r="R12" s="17"/>
      <c r="S12" s="17"/>
      <c r="T12" s="17"/>
      <c r="U12" s="17"/>
      <c r="V12" s="17"/>
      <c r="W12" s="17"/>
      <c r="X12" s="17"/>
      <c r="Y12" s="17"/>
      <c r="Z12" s="17"/>
      <c r="AA12" s="17"/>
      <c r="AB12" s="17"/>
      <c r="AC12" s="15"/>
      <c r="AD12" s="53"/>
      <c r="AE12" s="54"/>
      <c r="AF12" s="55">
        <f>IF(M11="Single",0,M13)</f>
        <v>0</v>
      </c>
      <c r="AG12" s="55" t="s">
        <v>17</v>
      </c>
      <c r="AH12" s="55"/>
      <c r="AI12" s="55"/>
      <c r="AJ12" s="55"/>
      <c r="AK12" s="3" t="s">
        <v>157</v>
      </c>
      <c r="AL12" s="3">
        <f>215</f>
        <v>215</v>
      </c>
      <c r="AM12" s="55"/>
      <c r="AN12" s="55"/>
      <c r="AO12" s="55"/>
      <c r="AP12" s="55"/>
      <c r="AQ12" s="55"/>
      <c r="AR12" s="55"/>
      <c r="AS12" s="55"/>
      <c r="AT12" s="55"/>
      <c r="AU12" s="55"/>
      <c r="AV12" s="55"/>
    </row>
    <row r="13" spans="1:48" ht="17.100000000000001" customHeight="1">
      <c r="B13" s="10"/>
      <c r="C13" s="231" t="s">
        <v>92</v>
      </c>
      <c r="D13" s="232"/>
      <c r="E13" s="232"/>
      <c r="F13" s="232"/>
      <c r="G13" s="232"/>
      <c r="H13" s="232"/>
      <c r="I13" s="232"/>
      <c r="J13" s="232"/>
      <c r="K13" s="232"/>
      <c r="L13" s="232"/>
      <c r="M13" s="248">
        <v>102.5</v>
      </c>
      <c r="N13" s="249"/>
      <c r="O13" s="17"/>
      <c r="P13" s="278" t="s">
        <v>99</v>
      </c>
      <c r="Q13" s="279"/>
      <c r="R13" s="279"/>
      <c r="S13" s="279"/>
      <c r="T13" s="279"/>
      <c r="U13" s="279"/>
      <c r="V13" s="279"/>
      <c r="W13" s="279"/>
      <c r="X13" s="279"/>
      <c r="Y13" s="279"/>
      <c r="Z13" s="279"/>
      <c r="AA13" s="279"/>
      <c r="AB13" s="280"/>
      <c r="AC13" s="15"/>
      <c r="AD13" s="53"/>
      <c r="AE13" s="54"/>
      <c r="AF13" s="55">
        <f>M14*1000</f>
        <v>2800</v>
      </c>
      <c r="AG13" s="55" t="s">
        <v>17</v>
      </c>
      <c r="AH13" s="55"/>
      <c r="AI13" s="55"/>
      <c r="AJ13" s="55"/>
      <c r="AK13" s="55" t="s">
        <v>153</v>
      </c>
      <c r="AL13" s="55">
        <f>M34</f>
        <v>215</v>
      </c>
      <c r="AM13" s="55"/>
      <c r="AN13" s="55"/>
      <c r="AO13" s="55"/>
      <c r="AP13" s="55"/>
      <c r="AQ13" s="55"/>
      <c r="AR13" s="55"/>
      <c r="AS13" s="55"/>
      <c r="AT13" s="55"/>
      <c r="AU13" s="55"/>
      <c r="AV13" s="55"/>
    </row>
    <row r="14" spans="1:48" ht="17.100000000000001" customHeight="1">
      <c r="B14" s="10"/>
      <c r="C14" s="231" t="s">
        <v>112</v>
      </c>
      <c r="D14" s="232"/>
      <c r="E14" s="232"/>
      <c r="F14" s="232"/>
      <c r="G14" s="232"/>
      <c r="H14" s="232"/>
      <c r="I14" s="232"/>
      <c r="J14" s="232"/>
      <c r="K14" s="232"/>
      <c r="L14" s="232"/>
      <c r="M14" s="294">
        <v>2.8</v>
      </c>
      <c r="N14" s="295"/>
      <c r="O14" s="17"/>
      <c r="P14" s="184" t="s">
        <v>159</v>
      </c>
      <c r="Q14" s="185"/>
      <c r="R14" s="185"/>
      <c r="S14" s="185"/>
      <c r="T14" s="185"/>
      <c r="U14" s="185"/>
      <c r="V14" s="185"/>
      <c r="W14" s="185"/>
      <c r="X14" s="183" t="str">
        <f>FIXED(K42,2)&amp;IF(K44&lt;=1," &lt; "," &gt; ")&amp;FIXED(K43,2)</f>
        <v>1.75 &gt; 1.57</v>
      </c>
      <c r="Y14" s="183"/>
      <c r="Z14" s="183"/>
      <c r="AA14" s="175" t="str">
        <f>IF(K44&gt;1,"N/A","OK")</f>
        <v>N/A</v>
      </c>
      <c r="AB14" s="176"/>
      <c r="AC14" s="15"/>
      <c r="AD14" s="53"/>
      <c r="AE14" s="54"/>
      <c r="AF14" s="55">
        <f>IF($F$10=$AG$10,0.75,1)*AF13</f>
        <v>2100</v>
      </c>
      <c r="AG14" s="55" t="s">
        <v>17</v>
      </c>
      <c r="AH14" s="55"/>
      <c r="AI14" s="55"/>
      <c r="AJ14" s="55"/>
      <c r="AK14" s="55" t="s">
        <v>154</v>
      </c>
      <c r="AL14" s="55">
        <f>M35</f>
        <v>150</v>
      </c>
      <c r="AM14" s="53"/>
      <c r="AN14" s="113" t="str">
        <f t="shared" ref="AN14:AS14" si="0">AF9</f>
        <v>Clay or calcium silicate bricks</v>
      </c>
      <c r="AO14" s="114" t="str">
        <f t="shared" si="0"/>
        <v>Autoclaved aerated concrete blocks</v>
      </c>
      <c r="AP14" s="114" t="str">
        <f t="shared" si="0"/>
        <v>Aggregate concrete blocks (&lt;25% voids)</v>
      </c>
      <c r="AQ14" s="114" t="str">
        <f t="shared" si="0"/>
        <v>Aggregate concrete blocks (25% to 60% voids)</v>
      </c>
      <c r="AR14" s="114" t="str">
        <f t="shared" si="0"/>
        <v>Solid aggregate concrete blocks collar jointed</v>
      </c>
      <c r="AS14" s="89" t="str">
        <f t="shared" si="0"/>
        <v>Solid aggregate concrete blocks laid flat</v>
      </c>
      <c r="AT14" s="55"/>
      <c r="AU14" s="55"/>
      <c r="AV14" s="55"/>
    </row>
    <row r="15" spans="1:48" ht="17.100000000000001" customHeight="1">
      <c r="B15" s="10"/>
      <c r="C15" s="231" t="s">
        <v>79</v>
      </c>
      <c r="D15" s="232"/>
      <c r="E15" s="232"/>
      <c r="F15" s="232"/>
      <c r="G15" s="232"/>
      <c r="H15" s="232"/>
      <c r="I15" s="232"/>
      <c r="J15" s="232"/>
      <c r="K15" s="232"/>
      <c r="L15" s="232"/>
      <c r="M15" s="248">
        <v>5.2</v>
      </c>
      <c r="N15" s="249"/>
      <c r="O15" s="17"/>
      <c r="P15" s="186" t="s">
        <v>161</v>
      </c>
      <c r="Q15" s="187"/>
      <c r="R15" s="187"/>
      <c r="S15" s="187"/>
      <c r="T15" s="187"/>
      <c r="U15" s="187"/>
      <c r="V15" s="187"/>
      <c r="W15" s="187"/>
      <c r="X15" s="182" t="str">
        <f>IF(AF44=0,"N/A",FIXED(CHOOSE($AK$50,AL53,AM58,AN54,AO54),2)&amp;IF(CHOOSE($AK$50,AL55,AM60,AN56,AO56)&lt;=1," &lt; "," &gt; ")&amp;FIXED(CHOOSE($AK$50,AL54,AM59,AN55,AO55),2))</f>
        <v>1.64 &lt; 2.51</v>
      </c>
      <c r="Y15" s="182"/>
      <c r="Z15" s="182"/>
      <c r="AA15" s="177" t="str">
        <f>IF(AF44=0,"",IF(CHOOSE($AK$50,AL55,AM60,AN56,AO56)&lt;=1,"OK","NOT OK"))</f>
        <v>OK</v>
      </c>
      <c r="AB15" s="178"/>
      <c r="AC15" s="20"/>
      <c r="AD15" s="53"/>
      <c r="AE15" s="54"/>
      <c r="AF15" s="55" t="s">
        <v>103</v>
      </c>
      <c r="AG15" s="55" t="s">
        <v>100</v>
      </c>
      <c r="AH15" s="55" t="s">
        <v>101</v>
      </c>
      <c r="AI15" s="55" t="s">
        <v>102</v>
      </c>
      <c r="AJ15" s="55"/>
      <c r="AK15" s="55" t="s">
        <v>122</v>
      </c>
      <c r="AL15" s="55">
        <f>M36</f>
        <v>0</v>
      </c>
      <c r="AM15" s="57"/>
      <c r="AN15" s="63">
        <v>5</v>
      </c>
      <c r="AO15" s="86">
        <v>2.9</v>
      </c>
      <c r="AP15" s="86">
        <v>2.9</v>
      </c>
      <c r="AQ15" s="86"/>
      <c r="AR15" s="86"/>
      <c r="AS15" s="64"/>
      <c r="AT15" s="55"/>
      <c r="AU15" s="55"/>
      <c r="AV15" s="55"/>
    </row>
    <row r="16" spans="1:48" ht="17.100000000000001" customHeight="1">
      <c r="B16" s="10"/>
      <c r="C16" s="231" t="s">
        <v>106</v>
      </c>
      <c r="D16" s="232"/>
      <c r="E16" s="232"/>
      <c r="F16" s="232"/>
      <c r="G16" s="232"/>
      <c r="H16" s="232"/>
      <c r="I16" s="232"/>
      <c r="J16" s="232"/>
      <c r="K16" s="232"/>
      <c r="L16" s="232"/>
      <c r="M16" s="248">
        <v>100</v>
      </c>
      <c r="N16" s="249"/>
      <c r="O16" s="17"/>
      <c r="P16" s="188" t="s">
        <v>160</v>
      </c>
      <c r="Q16" s="189"/>
      <c r="R16" s="189"/>
      <c r="S16" s="189"/>
      <c r="T16" s="189"/>
      <c r="U16" s="189"/>
      <c r="V16" s="189"/>
      <c r="W16" s="189"/>
      <c r="X16" s="181" t="str">
        <f>FIXED(K52,2)&amp;IF(K54&lt;=1," &lt; "," &gt; ")&amp;FIXED(K53,2)</f>
        <v>0.32 &lt; 0.96</v>
      </c>
      <c r="Y16" s="181"/>
      <c r="Z16" s="181"/>
      <c r="AA16" s="179" t="str">
        <f>IF(K54&lt;=1,"OK","NOT OK")</f>
        <v>OK</v>
      </c>
      <c r="AB16" s="180"/>
      <c r="AC16" s="20"/>
      <c r="AD16" s="53"/>
      <c r="AE16" s="57"/>
      <c r="AF16" s="55" t="s">
        <v>8</v>
      </c>
      <c r="AG16" s="55" t="s">
        <v>9</v>
      </c>
      <c r="AH16" s="55"/>
      <c r="AI16" s="55"/>
      <c r="AJ16" s="55"/>
      <c r="AK16" s="55" t="s">
        <v>155</v>
      </c>
      <c r="AL16" s="55">
        <f>AA38</f>
        <v>440</v>
      </c>
      <c r="AM16" s="58"/>
      <c r="AN16" s="60">
        <v>10</v>
      </c>
      <c r="AO16" s="61">
        <v>3.6</v>
      </c>
      <c r="AP16" s="61">
        <v>3.6</v>
      </c>
      <c r="AQ16" s="61"/>
      <c r="AR16" s="61"/>
      <c r="AS16" s="62"/>
      <c r="AT16" s="55"/>
      <c r="AU16" s="55"/>
      <c r="AV16" s="55"/>
    </row>
    <row r="17" spans="2:48" ht="17.100000000000001" customHeight="1">
      <c r="B17" s="10"/>
      <c r="C17" s="231" t="str">
        <f>IF($AF$8=6,"As laid height of flat blocks [mm] =","Height of conventionally laid masonry unit [mm] =")</f>
        <v>Height of conventionally laid masonry unit [mm] =</v>
      </c>
      <c r="D17" s="232"/>
      <c r="E17" s="232"/>
      <c r="F17" s="232"/>
      <c r="G17" s="232"/>
      <c r="H17" s="232"/>
      <c r="I17" s="232"/>
      <c r="J17" s="232"/>
      <c r="K17" s="232"/>
      <c r="L17" s="232"/>
      <c r="M17" s="248">
        <v>215</v>
      </c>
      <c r="N17" s="249"/>
      <c r="O17" s="17"/>
      <c r="P17" s="17"/>
      <c r="Q17" s="17"/>
      <c r="R17" s="17"/>
      <c r="S17" s="17"/>
      <c r="T17" s="17"/>
      <c r="U17" s="17"/>
      <c r="V17" s="17"/>
      <c r="W17" s="17"/>
      <c r="X17" s="17"/>
      <c r="Y17" s="17"/>
      <c r="Z17" s="17"/>
      <c r="AA17" s="17"/>
      <c r="AB17" s="17"/>
      <c r="AC17" s="20"/>
      <c r="AD17" s="56"/>
      <c r="AE17" s="57"/>
      <c r="AF17" s="55" t="s">
        <v>14</v>
      </c>
      <c r="AG17" s="55" t="s">
        <v>15</v>
      </c>
      <c r="AH17" s="55"/>
      <c r="AI17" s="55"/>
      <c r="AJ17" s="55"/>
      <c r="AK17" s="55" t="s">
        <v>156</v>
      </c>
      <c r="AL17" s="55">
        <f>AA39</f>
        <v>215</v>
      </c>
      <c r="AM17" s="58"/>
      <c r="AN17" s="60">
        <v>15</v>
      </c>
      <c r="AO17" s="61">
        <v>5.2</v>
      </c>
      <c r="AP17" s="61">
        <v>5.2</v>
      </c>
      <c r="AQ17" s="61"/>
      <c r="AR17" s="61"/>
      <c r="AS17" s="62"/>
      <c r="AT17" s="55"/>
      <c r="AU17" s="55"/>
      <c r="AV17" s="55"/>
    </row>
    <row r="18" spans="2:48" ht="17.100000000000001" customHeight="1">
      <c r="B18" s="10"/>
      <c r="C18" s="281" t="s">
        <v>97</v>
      </c>
      <c r="D18" s="282"/>
      <c r="E18" s="282"/>
      <c r="F18" s="282"/>
      <c r="G18" s="282"/>
      <c r="H18" s="282"/>
      <c r="I18" s="282"/>
      <c r="J18" s="282"/>
      <c r="K18" s="282"/>
      <c r="L18" s="282"/>
      <c r="M18" s="246" t="s">
        <v>103</v>
      </c>
      <c r="N18" s="247"/>
      <c r="O18" s="17"/>
      <c r="P18" s="266" t="s">
        <v>78</v>
      </c>
      <c r="Q18" s="267"/>
      <c r="R18" s="267"/>
      <c r="S18" s="267"/>
      <c r="T18" s="267"/>
      <c r="U18" s="267"/>
      <c r="V18" s="267"/>
      <c r="W18" s="267"/>
      <c r="X18" s="267"/>
      <c r="Y18" s="267"/>
      <c r="Z18" s="267"/>
      <c r="AA18" s="267"/>
      <c r="AB18" s="268"/>
      <c r="AC18" s="20"/>
      <c r="AD18" s="56"/>
      <c r="AE18" s="56"/>
      <c r="AF18" s="56"/>
      <c r="AG18" s="56"/>
      <c r="AH18" s="55"/>
      <c r="AI18" s="55"/>
      <c r="AJ18" s="55"/>
      <c r="AK18" s="55" t="s">
        <v>173</v>
      </c>
      <c r="AL18" s="55">
        <f>IF(AF34=1,M37,0)</f>
        <v>0</v>
      </c>
      <c r="AM18" s="58"/>
      <c r="AN18" s="60">
        <v>20</v>
      </c>
      <c r="AO18" s="61">
        <v>7.3</v>
      </c>
      <c r="AP18" s="61">
        <v>7.3</v>
      </c>
      <c r="AQ18" s="61"/>
      <c r="AR18" s="61"/>
      <c r="AS18" s="62"/>
      <c r="AT18" s="55"/>
      <c r="AU18" s="55"/>
      <c r="AV18" s="55"/>
    </row>
    <row r="19" spans="2:48" ht="17.100000000000001" customHeight="1">
      <c r="B19" s="10"/>
      <c r="C19" s="231" t="s">
        <v>121</v>
      </c>
      <c r="D19" s="232"/>
      <c r="E19" s="232"/>
      <c r="F19" s="232"/>
      <c r="G19" s="232"/>
      <c r="H19" s="232"/>
      <c r="I19" s="232"/>
      <c r="J19" s="232"/>
      <c r="K19" s="232"/>
      <c r="L19" s="232"/>
      <c r="M19" s="300">
        <f>MAX(215,AF12,2/3*(215+AF12))</f>
        <v>215</v>
      </c>
      <c r="N19" s="301"/>
      <c r="O19" s="17"/>
      <c r="P19" s="40"/>
      <c r="Q19" s="41"/>
      <c r="R19" s="41"/>
      <c r="S19" s="41"/>
      <c r="T19" s="41"/>
      <c r="U19" s="41"/>
      <c r="V19" s="41"/>
      <c r="W19" s="41"/>
      <c r="X19" s="41"/>
      <c r="Y19" s="41"/>
      <c r="Z19" s="41"/>
      <c r="AA19" s="41"/>
      <c r="AB19" s="42"/>
      <c r="AC19" s="20"/>
      <c r="AD19" s="56"/>
      <c r="AE19" s="57"/>
      <c r="AF19" s="70">
        <v>1</v>
      </c>
      <c r="AG19" s="71">
        <v>2</v>
      </c>
      <c r="AH19" s="72" t="s">
        <v>107</v>
      </c>
      <c r="AI19" s="55"/>
      <c r="AK19" s="3" t="str">
        <f>AA38&amp;" x "&amp;AA39&amp;" x "&amp;215&amp;" Spreader"</f>
        <v>440 x 215 x 215 Spreader</v>
      </c>
      <c r="AM19" s="58"/>
      <c r="AN19" s="60">
        <v>30</v>
      </c>
      <c r="AO19" s="61">
        <v>10.4</v>
      </c>
      <c r="AP19" s="61">
        <v>10.4</v>
      </c>
      <c r="AQ19" s="61"/>
      <c r="AR19" s="61"/>
      <c r="AS19" s="62"/>
      <c r="AT19" s="55"/>
      <c r="AU19" s="55"/>
      <c r="AV19" s="55"/>
    </row>
    <row r="20" spans="2:48" ht="17.100000000000001" customHeight="1">
      <c r="B20" s="10"/>
      <c r="C20" s="231" t="s">
        <v>94</v>
      </c>
      <c r="D20" s="232"/>
      <c r="E20" s="232"/>
      <c r="F20" s="232"/>
      <c r="G20" s="232"/>
      <c r="H20" s="232"/>
      <c r="I20" s="232"/>
      <c r="J20" s="232"/>
      <c r="K20" s="232"/>
      <c r="L20" s="232"/>
      <c r="M20" s="296">
        <f>AF14/1000</f>
        <v>2.1</v>
      </c>
      <c r="N20" s="297"/>
      <c r="O20" s="17"/>
      <c r="P20" s="43"/>
      <c r="Q20" s="39"/>
      <c r="R20" s="39"/>
      <c r="S20" s="39"/>
      <c r="T20" s="39"/>
      <c r="U20" s="39"/>
      <c r="V20" s="39"/>
      <c r="W20" s="39"/>
      <c r="X20" s="39"/>
      <c r="Y20" s="39"/>
      <c r="Z20" s="39"/>
      <c r="AA20" s="39"/>
      <c r="AB20" s="44"/>
      <c r="AC20" s="20"/>
      <c r="AD20" s="56"/>
      <c r="AE20" s="57"/>
      <c r="AF20" s="73">
        <f>$M$15</f>
        <v>5.2</v>
      </c>
      <c r="AG20" s="74">
        <f t="shared" ref="AG20:AH20" si="1">$M$15</f>
        <v>5.2</v>
      </c>
      <c r="AH20" s="75">
        <f t="shared" si="1"/>
        <v>5.2</v>
      </c>
      <c r="AI20" s="55"/>
      <c r="AM20" s="58"/>
      <c r="AN20" s="60">
        <v>40</v>
      </c>
      <c r="AO20" s="61"/>
      <c r="AP20" s="61">
        <v>17.5</v>
      </c>
      <c r="AQ20" s="61"/>
      <c r="AR20" s="61"/>
      <c r="AS20" s="62"/>
      <c r="AT20" s="55"/>
      <c r="AU20" s="55"/>
      <c r="AV20" s="55"/>
    </row>
    <row r="21" spans="2:48" ht="17.100000000000001" customHeight="1">
      <c r="B21" s="10"/>
      <c r="C21" s="283" t="s">
        <v>98</v>
      </c>
      <c r="D21" s="284"/>
      <c r="E21" s="284"/>
      <c r="F21" s="284"/>
      <c r="G21" s="284"/>
      <c r="H21" s="284"/>
      <c r="I21" s="284"/>
      <c r="J21" s="284"/>
      <c r="K21" s="284"/>
      <c r="L21" s="284"/>
      <c r="M21" s="288">
        <f>IF(OR(AF8=1,AF8=5,AF8=6),calculationstables!I7,calculationstables!I13)</f>
        <v>4.4000000000000004</v>
      </c>
      <c r="N21" s="289"/>
      <c r="O21" s="17"/>
      <c r="P21" s="43"/>
      <c r="Q21" s="39"/>
      <c r="R21" s="39"/>
      <c r="S21" s="39"/>
      <c r="T21" s="39"/>
      <c r="U21" s="39"/>
      <c r="V21" s="39"/>
      <c r="W21" s="39"/>
      <c r="X21" s="39"/>
      <c r="Y21" s="39"/>
      <c r="Z21" s="39"/>
      <c r="AA21" s="39"/>
      <c r="AB21" s="44"/>
      <c r="AC21" s="20"/>
      <c r="AD21" s="56"/>
      <c r="AE21" s="56"/>
      <c r="AF21" s="76" t="str">
        <f>IF($AF$8=AF19,"THIS ONE","")</f>
        <v/>
      </c>
      <c r="AG21" s="77" t="str">
        <f>IF($AF$8=AG19,"THIS ONE","")</f>
        <v/>
      </c>
      <c r="AH21" s="78" t="str">
        <f>IF($AF$8&gt;=AH19,"THIS ONE","")</f>
        <v/>
      </c>
      <c r="AI21" s="55"/>
      <c r="AM21" s="58"/>
      <c r="AN21" s="60">
        <v>50</v>
      </c>
      <c r="AO21" s="61"/>
      <c r="AP21" s="61">
        <v>22.5</v>
      </c>
      <c r="AQ21" s="61"/>
      <c r="AR21" s="61"/>
      <c r="AS21" s="62"/>
      <c r="AT21" s="55"/>
      <c r="AU21" s="55"/>
      <c r="AV21" s="55"/>
    </row>
    <row r="22" spans="2:48" ht="17.100000000000001" customHeight="1">
      <c r="B22" s="10"/>
      <c r="C22" s="287" t="str">
        <f>IF(AE29&lt;&gt;"",AE29,IF(AF29&lt;&gt;"",AF29,""))</f>
        <v/>
      </c>
      <c r="D22" s="287"/>
      <c r="E22" s="287"/>
      <c r="F22" s="287"/>
      <c r="G22" s="287"/>
      <c r="H22" s="287"/>
      <c r="I22" s="287"/>
      <c r="J22" s="287"/>
      <c r="K22" s="287"/>
      <c r="L22" s="287"/>
      <c r="M22" s="287"/>
      <c r="N22" s="287"/>
      <c r="O22" s="17"/>
      <c r="P22" s="43"/>
      <c r="Q22" s="39"/>
      <c r="R22" s="39"/>
      <c r="S22" s="39"/>
      <c r="T22" s="39"/>
      <c r="U22" s="39"/>
      <c r="V22" s="39"/>
      <c r="W22" s="39"/>
      <c r="X22" s="39"/>
      <c r="Y22" s="39"/>
      <c r="Z22" s="39"/>
      <c r="AA22" s="39"/>
      <c r="AB22" s="44"/>
      <c r="AC22" s="20"/>
      <c r="AD22" s="56"/>
      <c r="AE22" s="56"/>
      <c r="AF22" s="56"/>
      <c r="AG22" s="56"/>
      <c r="AH22" s="55"/>
      <c r="AI22" s="55"/>
      <c r="AJ22" s="55"/>
      <c r="AK22" s="55"/>
      <c r="AL22" s="55"/>
      <c r="AM22" s="58"/>
      <c r="AN22" s="60">
        <v>75</v>
      </c>
      <c r="AO22" s="61"/>
      <c r="AP22" s="61">
        <v>30</v>
      </c>
      <c r="AQ22" s="61"/>
      <c r="AR22" s="61"/>
      <c r="AS22" s="62"/>
      <c r="AT22" s="55"/>
      <c r="AU22" s="55"/>
      <c r="AV22" s="55"/>
    </row>
    <row r="23" spans="2:48" ht="17.100000000000001" customHeight="1">
      <c r="B23" s="10"/>
      <c r="C23" s="164" t="s">
        <v>16</v>
      </c>
      <c r="D23" s="165"/>
      <c r="E23" s="165"/>
      <c r="F23" s="165"/>
      <c r="G23" s="165"/>
      <c r="H23" s="165"/>
      <c r="I23" s="165"/>
      <c r="J23" s="165"/>
      <c r="K23" s="165"/>
      <c r="L23" s="165"/>
      <c r="M23" s="165"/>
      <c r="N23" s="166"/>
      <c r="O23" s="17"/>
      <c r="P23" s="43"/>
      <c r="Q23" s="39"/>
      <c r="R23" s="39"/>
      <c r="S23" s="39"/>
      <c r="T23" s="39"/>
      <c r="U23" s="39"/>
      <c r="V23" s="39"/>
      <c r="W23" s="39"/>
      <c r="X23" s="39"/>
      <c r="Y23" s="39"/>
      <c r="Z23" s="39"/>
      <c r="AA23" s="39"/>
      <c r="AB23" s="44"/>
      <c r="AC23" s="20"/>
      <c r="AD23" s="53"/>
      <c r="AE23" s="57"/>
      <c r="AF23" s="56"/>
      <c r="AG23" s="56"/>
      <c r="AH23" s="55"/>
      <c r="AI23" s="55"/>
      <c r="AJ23" s="55"/>
      <c r="AK23" s="55"/>
      <c r="AL23" s="55"/>
      <c r="AM23" s="58"/>
      <c r="AN23" s="60">
        <v>100</v>
      </c>
      <c r="AO23" s="61"/>
      <c r="AP23" s="61">
        <v>40</v>
      </c>
      <c r="AQ23" s="61"/>
      <c r="AR23" s="61"/>
      <c r="AS23" s="62"/>
      <c r="AT23" s="55"/>
      <c r="AU23" s="55"/>
      <c r="AV23" s="55"/>
    </row>
    <row r="24" spans="2:48" ht="17.100000000000001" customHeight="1">
      <c r="B24" s="10"/>
      <c r="C24" s="250"/>
      <c r="D24" s="251"/>
      <c r="E24" s="251"/>
      <c r="F24" s="251"/>
      <c r="G24" s="251"/>
      <c r="H24" s="251"/>
      <c r="I24" s="251"/>
      <c r="J24" s="251"/>
      <c r="K24" s="269" t="s">
        <v>108</v>
      </c>
      <c r="L24" s="269"/>
      <c r="M24" s="269" t="s">
        <v>109</v>
      </c>
      <c r="N24" s="270"/>
      <c r="O24" s="17"/>
      <c r="P24" s="43"/>
      <c r="Q24" s="39"/>
      <c r="R24" s="39"/>
      <c r="S24" s="39"/>
      <c r="T24" s="39"/>
      <c r="U24" s="39"/>
      <c r="V24" s="39"/>
      <c r="W24" s="39"/>
      <c r="X24" s="39"/>
      <c r="Y24" s="39"/>
      <c r="Z24" s="39"/>
      <c r="AA24" s="39"/>
      <c r="AB24" s="44"/>
      <c r="AC24" s="20"/>
      <c r="AD24" s="53"/>
      <c r="AE24" s="156">
        <f>IF(OR(AND(AF8=1,COUNTIF(AN15:AN25,M15)=0),AND(AF8=2,COUNTIF(AO15:AO19,M15)=0),AND(AF8&gt;=3,COUNTIF(AP15:AP23,M15)=0)),"ERROR: incorrect compressive strength selected",1)</f>
        <v>1</v>
      </c>
      <c r="AF24" s="157">
        <v>1</v>
      </c>
      <c r="AG24" s="64"/>
      <c r="AH24" s="59"/>
      <c r="AJ24" s="55"/>
      <c r="AK24" s="55"/>
      <c r="AL24" s="55"/>
      <c r="AM24" s="58"/>
      <c r="AN24" s="60">
        <v>125</v>
      </c>
      <c r="AO24" s="61"/>
      <c r="AP24" s="61"/>
      <c r="AQ24" s="61"/>
      <c r="AR24" s="61"/>
      <c r="AS24" s="62"/>
      <c r="AT24" s="55"/>
      <c r="AU24" s="55"/>
      <c r="AV24" s="55"/>
    </row>
    <row r="25" spans="2:48" ht="17.100000000000001" customHeight="1">
      <c r="B25" s="10"/>
      <c r="C25" s="231" t="s">
        <v>134</v>
      </c>
      <c r="D25" s="232"/>
      <c r="E25" s="232"/>
      <c r="F25" s="232"/>
      <c r="G25" s="232"/>
      <c r="H25" s="232"/>
      <c r="I25" s="232"/>
      <c r="J25" s="232"/>
      <c r="K25" s="271">
        <v>1.4</v>
      </c>
      <c r="L25" s="271"/>
      <c r="M25" s="208">
        <v>20</v>
      </c>
      <c r="N25" s="209"/>
      <c r="O25" s="17"/>
      <c r="P25" s="43"/>
      <c r="Q25" s="39"/>
      <c r="R25" s="39"/>
      <c r="S25" s="39"/>
      <c r="T25" s="39"/>
      <c r="U25" s="39"/>
      <c r="V25" s="39"/>
      <c r="W25" s="39"/>
      <c r="X25" s="39"/>
      <c r="Y25" s="39"/>
      <c r="Z25" s="39"/>
      <c r="AA25" s="39"/>
      <c r="AB25" s="44"/>
      <c r="AC25" s="20"/>
      <c r="AD25" s="53"/>
      <c r="AE25" s="158">
        <v>1</v>
      </c>
      <c r="AF25" s="159">
        <f>IF(AND(M33="Yes",M34&gt;215),"Error: bearing width is greater than wall thickness (t)",1)</f>
        <v>1</v>
      </c>
      <c r="AG25" s="62"/>
      <c r="AH25" s="153">
        <f>IF(SUM(AE24:AF28)&lt;10,1,0)</f>
        <v>0</v>
      </c>
      <c r="AJ25" s="55"/>
      <c r="AK25" s="55"/>
      <c r="AL25" s="55"/>
      <c r="AM25" s="58"/>
      <c r="AN25" s="65">
        <v>150</v>
      </c>
      <c r="AO25" s="87"/>
      <c r="AP25" s="87"/>
      <c r="AQ25" s="87"/>
      <c r="AR25" s="87"/>
      <c r="AS25" s="66"/>
      <c r="AT25" s="55"/>
      <c r="AU25" s="55"/>
      <c r="AV25" s="55"/>
    </row>
    <row r="26" spans="2:48" ht="17.100000000000001" customHeight="1">
      <c r="B26" s="10"/>
      <c r="C26" s="252" t="s">
        <v>135</v>
      </c>
      <c r="D26" s="253"/>
      <c r="E26" s="253"/>
      <c r="F26" s="253"/>
      <c r="G26" s="253"/>
      <c r="H26" s="253"/>
      <c r="I26" s="253"/>
      <c r="J26" s="253"/>
      <c r="K26" s="210">
        <v>1.6</v>
      </c>
      <c r="L26" s="210"/>
      <c r="M26" s="211">
        <v>15</v>
      </c>
      <c r="N26" s="212"/>
      <c r="O26" s="17"/>
      <c r="P26" s="43"/>
      <c r="Q26" s="39"/>
      <c r="R26" s="39"/>
      <c r="S26" s="39"/>
      <c r="T26" s="39"/>
      <c r="U26" s="39"/>
      <c r="V26" s="39"/>
      <c r="W26" s="39"/>
      <c r="X26" s="39"/>
      <c r="Y26" s="39"/>
      <c r="Z26" s="39"/>
      <c r="AA26" s="39"/>
      <c r="AB26" s="44"/>
      <c r="AC26" s="20"/>
      <c r="AD26" s="53"/>
      <c r="AE26" s="158">
        <f>IF(AF8=1,"",IF(calculationstables!F31=0,"ERROR: "&amp;VLOOKUP(AF8,calculationstables!B29:G33,6,FALSE),1))</f>
        <v>1</v>
      </c>
      <c r="AF26" s="159">
        <f>IF(AND(M33="No",M35&gt;215),"Error: bearing length is greater than wall thickness (t)",1)</f>
        <v>1</v>
      </c>
      <c r="AG26" s="62"/>
      <c r="AH26" s="55"/>
      <c r="AJ26" s="55"/>
      <c r="AK26" s="59"/>
      <c r="AL26" s="59"/>
      <c r="AM26" s="55"/>
      <c r="AN26" s="55"/>
      <c r="AO26" s="55"/>
      <c r="AP26" s="55"/>
      <c r="AQ26" s="55"/>
      <c r="AR26" s="55"/>
      <c r="AS26" s="55"/>
      <c r="AT26" s="55"/>
      <c r="AU26" s="55"/>
      <c r="AV26" s="55"/>
    </row>
    <row r="27" spans="2:48" ht="17.100000000000001" customHeight="1">
      <c r="B27" s="10"/>
      <c r="C27" s="231" t="s">
        <v>136</v>
      </c>
      <c r="D27" s="232"/>
      <c r="E27" s="232"/>
      <c r="F27" s="232"/>
      <c r="G27" s="232"/>
      <c r="H27" s="232"/>
      <c r="I27" s="232"/>
      <c r="J27" s="232"/>
      <c r="K27" s="271">
        <v>1.4</v>
      </c>
      <c r="L27" s="271"/>
      <c r="M27" s="208">
        <v>10</v>
      </c>
      <c r="N27" s="209"/>
      <c r="O27" s="17"/>
      <c r="P27" s="43"/>
      <c r="Q27" s="39"/>
      <c r="R27" s="39"/>
      <c r="S27" s="39"/>
      <c r="T27" s="39"/>
      <c r="U27" s="39"/>
      <c r="V27" s="39"/>
      <c r="W27" s="39"/>
      <c r="X27" s="39"/>
      <c r="Y27" s="39"/>
      <c r="Z27" s="39"/>
      <c r="AA27" s="39"/>
      <c r="AB27" s="44"/>
      <c r="AC27" s="20"/>
      <c r="AD27" s="53"/>
      <c r="AE27" s="158">
        <v>1</v>
      </c>
      <c r="AF27" s="159">
        <f>IF(AND(AF34=1,M37&gt;AG34),"Error: eccentricity is greater than "&amp;AG34&amp;" mm",1)</f>
        <v>1</v>
      </c>
      <c r="AG27" s="62"/>
      <c r="AH27" s="55"/>
      <c r="AJ27" s="59" t="s">
        <v>8</v>
      </c>
      <c r="AK27" s="79">
        <v>2.5</v>
      </c>
      <c r="AL27" s="80">
        <v>3.1</v>
      </c>
      <c r="AM27" s="55"/>
      <c r="AN27" s="55"/>
      <c r="AO27" s="55"/>
      <c r="AP27" s="55"/>
      <c r="AQ27" s="55"/>
      <c r="AR27" s="55"/>
      <c r="AS27" s="55"/>
      <c r="AT27" s="55"/>
      <c r="AU27" s="55"/>
      <c r="AV27" s="55"/>
    </row>
    <row r="28" spans="2:48" ht="17.100000000000001" customHeight="1">
      <c r="B28" s="10"/>
      <c r="C28" s="252" t="s">
        <v>137</v>
      </c>
      <c r="D28" s="253"/>
      <c r="E28" s="253"/>
      <c r="F28" s="253"/>
      <c r="G28" s="253"/>
      <c r="H28" s="253"/>
      <c r="I28" s="253"/>
      <c r="J28" s="253"/>
      <c r="K28" s="210">
        <v>1.6</v>
      </c>
      <c r="L28" s="210"/>
      <c r="M28" s="211">
        <v>10</v>
      </c>
      <c r="N28" s="212"/>
      <c r="O28" s="17"/>
      <c r="P28" s="43"/>
      <c r="Q28" s="39"/>
      <c r="R28" s="39"/>
      <c r="S28" s="39"/>
      <c r="T28" s="39"/>
      <c r="U28" s="39"/>
      <c r="V28" s="39"/>
      <c r="W28" s="39"/>
      <c r="X28" s="39"/>
      <c r="Y28" s="39"/>
      <c r="Z28" s="39"/>
      <c r="AA28" s="39"/>
      <c r="AB28" s="44"/>
      <c r="AC28" s="20"/>
      <c r="AD28" s="53"/>
      <c r="AE28" s="160">
        <v>1</v>
      </c>
      <c r="AF28" s="161">
        <f>IF(AF44=0,1,IF(AND(M33="Yes",AA38&lt;M35),"Error: length of spreader is less than length of bearing",IF(AND(M33="No",AA38&lt;M34),"Error: length of spreader is less than width of bearing",1)))</f>
        <v>1</v>
      </c>
      <c r="AG28" s="66"/>
      <c r="AH28" s="55"/>
      <c r="AJ28" s="59" t="s">
        <v>9</v>
      </c>
      <c r="AK28" s="81">
        <v>2.8</v>
      </c>
      <c r="AL28" s="82">
        <v>3.5</v>
      </c>
      <c r="AM28" s="55"/>
      <c r="AN28" s="55"/>
      <c r="AO28" s="55"/>
      <c r="AP28" s="55"/>
      <c r="AQ28" s="55"/>
      <c r="AR28" s="55"/>
      <c r="AS28" s="55"/>
      <c r="AT28" s="55"/>
      <c r="AU28" s="55"/>
      <c r="AV28" s="55"/>
    </row>
    <row r="29" spans="2:48" ht="17.100000000000001" customHeight="1">
      <c r="B29" s="10"/>
      <c r="C29" s="318" t="s">
        <v>138</v>
      </c>
      <c r="D29" s="319"/>
      <c r="E29" s="319"/>
      <c r="F29" s="319"/>
      <c r="G29" s="319"/>
      <c r="H29" s="319"/>
      <c r="I29" s="319"/>
      <c r="J29" s="319"/>
      <c r="K29" s="319"/>
      <c r="L29" s="319"/>
      <c r="M29" s="261">
        <f>K25*20+K26*M26</f>
        <v>52</v>
      </c>
      <c r="N29" s="262"/>
      <c r="O29" s="17"/>
      <c r="P29" s="43"/>
      <c r="Q29" s="39"/>
      <c r="R29" s="39"/>
      <c r="S29" s="39"/>
      <c r="T29" s="39"/>
      <c r="U29" s="39"/>
      <c r="V29" s="39"/>
      <c r="W29" s="39"/>
      <c r="X29" s="39"/>
      <c r="Y29" s="39"/>
      <c r="Z29" s="39"/>
      <c r="AA29" s="39"/>
      <c r="AB29" s="44"/>
      <c r="AC29" s="20"/>
      <c r="AD29" s="53"/>
      <c r="AE29" s="162" t="str">
        <f>IF(AE24&lt;&gt;1,AE24,IF(AE25&lt;&gt;1,AE25,IF(AE26&lt;&gt;1,AE26,IF(AE27&lt;&gt;1,AE27,IF(AE28&lt;&gt;1,AE28,"")))))</f>
        <v/>
      </c>
      <c r="AF29" s="163" t="str">
        <f>IF(AF24&lt;&gt;1,AF24,IF(AF25&lt;&gt;1,AF25,IF(AF26&lt;&gt;1,AF26,IF(AF27&lt;&gt;1,AF27,IF(AF28&lt;&gt;1,AF28,"")))))</f>
        <v/>
      </c>
      <c r="AG29" s="53"/>
      <c r="AH29" s="55"/>
      <c r="AM29" s="55"/>
      <c r="AN29" s="55"/>
      <c r="AO29" s="55"/>
      <c r="AP29" s="55"/>
      <c r="AQ29" s="55"/>
      <c r="AR29" s="55"/>
      <c r="AS29" s="55"/>
      <c r="AT29" s="55"/>
      <c r="AU29" s="55"/>
      <c r="AV29" s="55"/>
    </row>
    <row r="30" spans="2:48" ht="17.100000000000001" customHeight="1">
      <c r="B30" s="10"/>
      <c r="C30" s="221" t="s">
        <v>139</v>
      </c>
      <c r="D30" s="222"/>
      <c r="E30" s="222"/>
      <c r="F30" s="222"/>
      <c r="G30" s="222"/>
      <c r="H30" s="222"/>
      <c r="I30" s="222"/>
      <c r="J30" s="222"/>
      <c r="K30" s="222"/>
      <c r="L30" s="222"/>
      <c r="M30" s="213">
        <f>K27*10+K28*M28</f>
        <v>30</v>
      </c>
      <c r="N30" s="214"/>
      <c r="O30" s="17"/>
      <c r="P30" s="43"/>
      <c r="Q30" s="39"/>
      <c r="R30" s="39"/>
      <c r="S30" s="39"/>
      <c r="T30" s="39"/>
      <c r="U30" s="39"/>
      <c r="V30" s="39"/>
      <c r="W30" s="39"/>
      <c r="X30" s="39"/>
      <c r="Y30" s="39"/>
      <c r="Z30" s="39"/>
      <c r="AA30" s="39"/>
      <c r="AB30" s="44"/>
      <c r="AC30" s="20"/>
      <c r="AD30" s="53"/>
      <c r="AE30" s="68"/>
      <c r="AF30" s="56" t="s">
        <v>49</v>
      </c>
      <c r="AG30" s="56" t="s">
        <v>50</v>
      </c>
      <c r="AH30" s="56"/>
      <c r="AJ30" s="54"/>
      <c r="AK30" s="63" t="s">
        <v>59</v>
      </c>
      <c r="AL30" s="110">
        <f>(K48^2/2400-0.015)*215</f>
        <v>5.3215116279069754</v>
      </c>
      <c r="AM30" s="55"/>
      <c r="AN30" s="124"/>
      <c r="AO30" s="124"/>
      <c r="AP30" s="124"/>
      <c r="AQ30" s="55"/>
      <c r="AR30" s="55"/>
      <c r="AS30" s="55"/>
      <c r="AT30" s="55"/>
      <c r="AU30" s="55"/>
      <c r="AV30" s="55"/>
    </row>
    <row r="31" spans="2:48" ht="17.100000000000001" customHeight="1">
      <c r="B31" s="10"/>
      <c r="C31" s="17"/>
      <c r="D31" s="17"/>
      <c r="E31" s="17"/>
      <c r="F31" s="17"/>
      <c r="G31" s="17"/>
      <c r="H31" s="17"/>
      <c r="I31" s="17"/>
      <c r="J31" s="17"/>
      <c r="K31" s="17"/>
      <c r="L31" s="17"/>
      <c r="M31" s="17"/>
      <c r="N31" s="17"/>
      <c r="O31" s="17"/>
      <c r="P31" s="43"/>
      <c r="Q31" s="39"/>
      <c r="R31" s="39"/>
      <c r="S31" s="39"/>
      <c r="T31" s="39"/>
      <c r="U31" s="39"/>
      <c r="V31" s="39"/>
      <c r="W31" s="39"/>
      <c r="X31" s="39"/>
      <c r="Y31" s="39"/>
      <c r="Z31" s="39"/>
      <c r="AA31" s="39"/>
      <c r="AB31" s="44"/>
      <c r="AC31" s="20"/>
      <c r="AD31" s="53"/>
      <c r="AE31" s="58"/>
      <c r="AF31" s="56"/>
      <c r="AG31" s="56"/>
      <c r="AH31" s="56"/>
      <c r="AJ31" s="53"/>
      <c r="AK31" s="60" t="s">
        <v>62</v>
      </c>
      <c r="AL31" s="111">
        <f>K49</f>
        <v>32.5</v>
      </c>
      <c r="AM31" s="55"/>
      <c r="AO31" s="3" t="s">
        <v>167</v>
      </c>
      <c r="AP31" s="3" t="b">
        <f>AND(M33=AF30,AF44=0)</f>
        <v>0</v>
      </c>
      <c r="AR31" s="55"/>
      <c r="AS31" s="55"/>
      <c r="AT31" s="55"/>
      <c r="AU31" s="55"/>
      <c r="AV31" s="55"/>
    </row>
    <row r="32" spans="2:48" ht="17.100000000000001" customHeight="1">
      <c r="B32" s="10"/>
      <c r="C32" s="164" t="s">
        <v>111</v>
      </c>
      <c r="D32" s="165"/>
      <c r="E32" s="165"/>
      <c r="F32" s="165"/>
      <c r="G32" s="165"/>
      <c r="H32" s="165"/>
      <c r="I32" s="165"/>
      <c r="J32" s="165"/>
      <c r="K32" s="165"/>
      <c r="L32" s="165"/>
      <c r="M32" s="165"/>
      <c r="N32" s="166"/>
      <c r="O32" s="17"/>
      <c r="P32" s="43"/>
      <c r="Q32" s="39"/>
      <c r="R32" s="39"/>
      <c r="S32" s="39"/>
      <c r="T32" s="39"/>
      <c r="U32" s="39"/>
      <c r="V32" s="39"/>
      <c r="W32" s="39"/>
      <c r="X32" s="39"/>
      <c r="Y32" s="39"/>
      <c r="Z32" s="39"/>
      <c r="AA32" s="39"/>
      <c r="AB32" s="44"/>
      <c r="AC32" s="20"/>
      <c r="AD32" s="53"/>
      <c r="AE32" s="53"/>
      <c r="AF32" s="56"/>
      <c r="AG32" s="56"/>
      <c r="AH32" s="56"/>
      <c r="AJ32" s="53"/>
      <c r="AK32" s="60" t="s">
        <v>60</v>
      </c>
      <c r="AL32" s="111">
        <f>0.6*AL31+AL30</f>
        <v>24.821511627906975</v>
      </c>
      <c r="AM32" s="55"/>
      <c r="AO32" s="3" t="s">
        <v>168</v>
      </c>
      <c r="AP32" s="3" t="b">
        <f>AND(M33=AF30,AF44=1)</f>
        <v>0</v>
      </c>
      <c r="AR32" s="55"/>
      <c r="AS32" s="55"/>
      <c r="AT32" s="55"/>
      <c r="AU32" s="55"/>
      <c r="AV32" s="55"/>
    </row>
    <row r="33" spans="2:48" ht="17.100000000000001" customHeight="1">
      <c r="B33" s="10"/>
      <c r="C33" s="229" t="s">
        <v>162</v>
      </c>
      <c r="D33" s="230"/>
      <c r="E33" s="230"/>
      <c r="F33" s="230"/>
      <c r="G33" s="230"/>
      <c r="H33" s="230"/>
      <c r="I33" s="230"/>
      <c r="J33" s="230"/>
      <c r="K33" s="230"/>
      <c r="L33" s="230"/>
      <c r="M33" s="233" t="s">
        <v>50</v>
      </c>
      <c r="N33" s="234"/>
      <c r="O33" s="17"/>
      <c r="P33" s="43"/>
      <c r="Q33" s="39"/>
      <c r="R33" s="39"/>
      <c r="S33" s="39"/>
      <c r="T33" s="39"/>
      <c r="U33" s="39"/>
      <c r="V33" s="39"/>
      <c r="W33" s="39"/>
      <c r="X33" s="39"/>
      <c r="Y33" s="39"/>
      <c r="Z33" s="39"/>
      <c r="AA33" s="39"/>
      <c r="AB33" s="44"/>
      <c r="AC33" s="20"/>
      <c r="AD33" s="53"/>
      <c r="AE33" s="54"/>
      <c r="AF33" s="56">
        <f>IF(M33="No",M36,0)</f>
        <v>0</v>
      </c>
      <c r="AG33" s="56"/>
      <c r="AH33" s="56"/>
      <c r="AJ33" s="53"/>
      <c r="AK33" s="60" t="s">
        <v>61</v>
      </c>
      <c r="AL33" s="111">
        <f>MAX(AL31,AL32)</f>
        <v>32.5</v>
      </c>
      <c r="AM33" s="55"/>
      <c r="AO33" s="3" t="s">
        <v>169</v>
      </c>
      <c r="AP33" s="3" t="b">
        <f>AND(M33=AG30,AF44=0)</f>
        <v>0</v>
      </c>
      <c r="AR33" s="55"/>
      <c r="AS33" s="55"/>
      <c r="AT33" s="55"/>
      <c r="AU33" s="55"/>
      <c r="AV33" s="55"/>
    </row>
    <row r="34" spans="2:48" ht="17.100000000000001" customHeight="1">
      <c r="B34" s="10"/>
      <c r="C34" s="231" t="s">
        <v>119</v>
      </c>
      <c r="D34" s="232"/>
      <c r="E34" s="232"/>
      <c r="F34" s="232"/>
      <c r="G34" s="232"/>
      <c r="H34" s="232"/>
      <c r="I34" s="232"/>
      <c r="J34" s="232"/>
      <c r="K34" s="232"/>
      <c r="L34" s="232"/>
      <c r="M34" s="235">
        <v>215</v>
      </c>
      <c r="N34" s="236"/>
      <c r="O34" s="17"/>
      <c r="P34" s="43"/>
      <c r="Q34" s="39"/>
      <c r="R34" s="39"/>
      <c r="S34" s="39"/>
      <c r="T34" s="39"/>
      <c r="U34" s="39"/>
      <c r="V34" s="39"/>
      <c r="W34" s="39"/>
      <c r="X34" s="39"/>
      <c r="Y34" s="39"/>
      <c r="Z34" s="39"/>
      <c r="AA34" s="39"/>
      <c r="AB34" s="44"/>
      <c r="AC34" s="20"/>
      <c r="AD34" s="53"/>
      <c r="AE34" s="54"/>
      <c r="AF34" s="56">
        <f>IF(AND(M33="Yes",M34&lt;215),1,0)</f>
        <v>0</v>
      </c>
      <c r="AG34" s="56">
        <f>215/2-M34/2</f>
        <v>0</v>
      </c>
      <c r="AH34" s="56">
        <f>IF(AND(M33="Yes",M34=215),0,IF(M33="yes",M37,215/2-M35/2))</f>
        <v>32.5</v>
      </c>
      <c r="AI34" s="55"/>
      <c r="AJ34" s="53"/>
      <c r="AK34" s="65" t="s">
        <v>63</v>
      </c>
      <c r="AL34" s="112">
        <f>MAX(0,IF(K48&lt;=6,1,IF(AL33&lt;=0.05*215,1,1.1*(1-2*AL33/215))))</f>
        <v>0.76744186046511631</v>
      </c>
      <c r="AM34" s="55"/>
      <c r="AO34" s="3" t="s">
        <v>170</v>
      </c>
      <c r="AP34" s="3" t="b">
        <f>AND(M33=AG30,AF44=1)</f>
        <v>1</v>
      </c>
      <c r="AR34" s="55"/>
      <c r="AS34" s="55"/>
      <c r="AT34" s="55"/>
      <c r="AU34" s="55"/>
      <c r="AV34" s="55"/>
    </row>
    <row r="35" spans="2:48" ht="17.100000000000001" customHeight="1">
      <c r="B35" s="10"/>
      <c r="C35" s="231" t="s">
        <v>115</v>
      </c>
      <c r="D35" s="232"/>
      <c r="E35" s="232"/>
      <c r="F35" s="232"/>
      <c r="G35" s="232"/>
      <c r="H35" s="232"/>
      <c r="I35" s="232"/>
      <c r="J35" s="232"/>
      <c r="K35" s="232"/>
      <c r="L35" s="232"/>
      <c r="M35" s="235">
        <v>150</v>
      </c>
      <c r="N35" s="236"/>
      <c r="O35" s="17"/>
      <c r="P35" s="120"/>
      <c r="Q35" s="45"/>
      <c r="R35" s="45"/>
      <c r="S35" s="45"/>
      <c r="T35" s="45"/>
      <c r="U35" s="45"/>
      <c r="V35" s="45"/>
      <c r="W35" s="45"/>
      <c r="X35" s="45"/>
      <c r="Y35" s="45"/>
      <c r="Z35" s="45"/>
      <c r="AA35" s="45"/>
      <c r="AB35" s="154" t="s">
        <v>178</v>
      </c>
      <c r="AC35" s="20"/>
      <c r="AD35" s="53"/>
      <c r="AG35" s="56"/>
      <c r="AH35" s="56"/>
      <c r="AI35" s="55"/>
      <c r="AJ35" s="55"/>
      <c r="AK35" s="55"/>
      <c r="AL35" s="55"/>
      <c r="AM35" s="55"/>
      <c r="AN35" s="55"/>
      <c r="AR35" s="55"/>
      <c r="AS35" s="55"/>
      <c r="AT35" s="55"/>
      <c r="AU35" s="55"/>
      <c r="AV35" s="55"/>
    </row>
    <row r="36" spans="2:48" ht="17.100000000000001" customHeight="1">
      <c r="B36" s="10"/>
      <c r="C36" s="231" t="s">
        <v>174</v>
      </c>
      <c r="D36" s="232"/>
      <c r="E36" s="232"/>
      <c r="F36" s="232"/>
      <c r="G36" s="232"/>
      <c r="H36" s="232"/>
      <c r="I36" s="232"/>
      <c r="J36" s="232"/>
      <c r="K36" s="232"/>
      <c r="L36" s="232"/>
      <c r="M36" s="235">
        <v>0</v>
      </c>
      <c r="N36" s="236"/>
      <c r="O36" s="17"/>
      <c r="P36" s="17"/>
      <c r="Q36" s="17"/>
      <c r="R36" s="17"/>
      <c r="S36" s="17"/>
      <c r="T36" s="17"/>
      <c r="U36" s="17"/>
      <c r="V36" s="17"/>
      <c r="W36" s="17"/>
      <c r="X36" s="17"/>
      <c r="Y36" s="17"/>
      <c r="Z36" s="17"/>
      <c r="AA36" s="17"/>
      <c r="AB36" s="17"/>
      <c r="AC36" s="20"/>
      <c r="AD36" s="53"/>
      <c r="AE36" s="54"/>
      <c r="AF36" s="56" t="s">
        <v>118</v>
      </c>
      <c r="AH36" s="56"/>
      <c r="AI36" s="55"/>
      <c r="AJ36" s="55"/>
      <c r="AK36" s="55"/>
      <c r="AL36" s="55"/>
      <c r="AM36" s="55"/>
      <c r="AN36" s="55"/>
      <c r="AO36" s="55"/>
      <c r="AP36" s="55"/>
      <c r="AQ36" s="55"/>
      <c r="AR36" s="55"/>
      <c r="AS36" s="55"/>
      <c r="AT36" s="55"/>
      <c r="AU36" s="55"/>
      <c r="AV36" s="55"/>
    </row>
    <row r="37" spans="2:48" ht="17.100000000000001" customHeight="1">
      <c r="B37" s="10"/>
      <c r="C37" s="221" t="s">
        <v>172</v>
      </c>
      <c r="D37" s="222"/>
      <c r="E37" s="222"/>
      <c r="F37" s="222"/>
      <c r="G37" s="222"/>
      <c r="H37" s="222"/>
      <c r="I37" s="222"/>
      <c r="J37" s="222"/>
      <c r="K37" s="222"/>
      <c r="L37" s="222"/>
      <c r="M37" s="237">
        <v>0</v>
      </c>
      <c r="N37" s="238"/>
      <c r="O37" s="17"/>
      <c r="P37" s="278" t="s">
        <v>181</v>
      </c>
      <c r="Q37" s="279"/>
      <c r="R37" s="279"/>
      <c r="S37" s="279"/>
      <c r="T37" s="279"/>
      <c r="U37" s="279"/>
      <c r="V37" s="279"/>
      <c r="W37" s="279"/>
      <c r="X37" s="279"/>
      <c r="Y37" s="279"/>
      <c r="Z37" s="279"/>
      <c r="AA37" s="279"/>
      <c r="AB37" s="280"/>
      <c r="AC37" s="20"/>
      <c r="AD37" s="53"/>
      <c r="AF37" s="56" t="s">
        <v>117</v>
      </c>
      <c r="AG37" s="56"/>
      <c r="AH37" s="55"/>
      <c r="AI37" s="55"/>
      <c r="AJ37" s="55"/>
      <c r="AK37" s="55"/>
      <c r="AL37" s="55"/>
      <c r="AM37" s="55"/>
      <c r="AN37" s="55"/>
      <c r="AO37" s="55"/>
      <c r="AP37" s="55"/>
      <c r="AQ37" s="55"/>
      <c r="AR37" s="55"/>
      <c r="AS37" s="55"/>
      <c r="AT37" s="55"/>
      <c r="AU37" s="55"/>
      <c r="AV37" s="55"/>
    </row>
    <row r="38" spans="2:48" ht="17.100000000000001" customHeight="1">
      <c r="B38" s="10"/>
      <c r="C38" s="17"/>
      <c r="D38" s="17"/>
      <c r="E38" s="17"/>
      <c r="F38" s="17"/>
      <c r="G38" s="17"/>
      <c r="H38" s="17"/>
      <c r="I38" s="17"/>
      <c r="J38" s="17"/>
      <c r="K38" s="17"/>
      <c r="L38" s="17"/>
      <c r="M38" s="17"/>
      <c r="N38" s="17"/>
      <c r="O38" s="17"/>
      <c r="P38" s="259" t="s">
        <v>114</v>
      </c>
      <c r="Q38" s="260"/>
      <c r="R38" s="260"/>
      <c r="S38" s="260"/>
      <c r="T38" s="260"/>
      <c r="U38" s="260"/>
      <c r="V38" s="260"/>
      <c r="W38" s="260"/>
      <c r="X38" s="260"/>
      <c r="Y38" s="260"/>
      <c r="Z38" s="260"/>
      <c r="AA38" s="254">
        <v>440</v>
      </c>
      <c r="AB38" s="255"/>
      <c r="AC38" s="20"/>
      <c r="AD38" s="53"/>
      <c r="AE38" s="54"/>
      <c r="AF38" s="69">
        <f>MATCH(P40,AF36:AF37,0)</f>
        <v>1</v>
      </c>
      <c r="AG38" s="56"/>
      <c r="AH38" s="55"/>
      <c r="AI38" s="55"/>
      <c r="AJ38" s="55"/>
      <c r="AK38" s="55"/>
      <c r="AL38" s="55"/>
      <c r="AM38" s="55"/>
      <c r="AN38" s="55"/>
      <c r="AO38" s="55"/>
      <c r="AP38" s="55"/>
      <c r="AQ38" s="55"/>
      <c r="AR38" s="55"/>
      <c r="AS38" s="55"/>
      <c r="AT38" s="55"/>
      <c r="AU38" s="55"/>
      <c r="AV38" s="55"/>
    </row>
    <row r="39" spans="2:48" ht="17.100000000000001" customHeight="1">
      <c r="B39" s="10"/>
      <c r="C39" s="164" t="s">
        <v>158</v>
      </c>
      <c r="D39" s="165"/>
      <c r="E39" s="165"/>
      <c r="F39" s="165"/>
      <c r="G39" s="165"/>
      <c r="H39" s="165"/>
      <c r="I39" s="165"/>
      <c r="J39" s="165"/>
      <c r="K39" s="165"/>
      <c r="L39" s="165"/>
      <c r="M39" s="165"/>
      <c r="N39" s="166"/>
      <c r="O39" s="17"/>
      <c r="P39" s="281" t="s">
        <v>116</v>
      </c>
      <c r="Q39" s="282"/>
      <c r="R39" s="282"/>
      <c r="S39" s="282"/>
      <c r="T39" s="282"/>
      <c r="U39" s="282"/>
      <c r="V39" s="282"/>
      <c r="W39" s="282"/>
      <c r="X39" s="282"/>
      <c r="Y39" s="282"/>
      <c r="Z39" s="282"/>
      <c r="AA39" s="235">
        <v>215</v>
      </c>
      <c r="AB39" s="236"/>
      <c r="AC39" s="20"/>
      <c r="AD39" s="53"/>
      <c r="AE39" s="53"/>
      <c r="AF39" s="53"/>
      <c r="AG39" s="56"/>
      <c r="AH39" s="55"/>
      <c r="AI39" s="55"/>
      <c r="AJ39" s="55"/>
      <c r="AK39" s="55"/>
      <c r="AL39" s="55"/>
      <c r="AM39" s="55"/>
      <c r="AN39" s="55"/>
      <c r="AO39" s="55"/>
      <c r="AP39" s="55"/>
      <c r="AQ39" s="55"/>
      <c r="AR39" s="55"/>
      <c r="AS39" s="55"/>
      <c r="AT39" s="55"/>
      <c r="AU39" s="55"/>
      <c r="AV39" s="55"/>
    </row>
    <row r="40" spans="2:48" ht="17.100000000000001" customHeight="1">
      <c r="B40" s="10"/>
      <c r="C40" s="206" t="s">
        <v>123</v>
      </c>
      <c r="D40" s="207"/>
      <c r="E40" s="207"/>
      <c r="F40" s="207"/>
      <c r="G40" s="207"/>
      <c r="H40" s="207"/>
      <c r="I40" s="207"/>
      <c r="J40" s="207"/>
      <c r="K40" s="326" t="str">
        <f>AM40</f>
        <v>Type 1</v>
      </c>
      <c r="L40" s="326"/>
      <c r="M40" s="324"/>
      <c r="N40" s="325"/>
      <c r="O40" s="17"/>
      <c r="P40" s="256" t="s">
        <v>118</v>
      </c>
      <c r="Q40" s="257"/>
      <c r="R40" s="257"/>
      <c r="S40" s="257"/>
      <c r="T40" s="257"/>
      <c r="U40" s="257"/>
      <c r="V40" s="257"/>
      <c r="W40" s="257"/>
      <c r="X40" s="257"/>
      <c r="Y40" s="257"/>
      <c r="Z40" s="257"/>
      <c r="AA40" s="257"/>
      <c r="AB40" s="258"/>
      <c r="AC40" s="20"/>
      <c r="AD40" s="53"/>
      <c r="AE40" s="54"/>
      <c r="AF40" s="223" t="s">
        <v>32</v>
      </c>
      <c r="AG40" s="224"/>
      <c r="AH40" s="224"/>
      <c r="AI40" s="225"/>
      <c r="AJ40" s="223" t="s">
        <v>51</v>
      </c>
      <c r="AK40" s="224"/>
      <c r="AL40" s="225"/>
      <c r="AM40" s="89" t="str">
        <f>IF(OR(AJ41=1,AK41=1,AL41=1),AJ40,IF(OR(AF41=1,AG41=1,AH41=1,AI41=1),AF40,"Not applicable"))</f>
        <v>Type 1</v>
      </c>
      <c r="AN40" s="55"/>
      <c r="AO40" s="55"/>
      <c r="AP40" s="55"/>
      <c r="AQ40" s="55"/>
      <c r="AR40" s="55"/>
      <c r="AS40" s="55"/>
      <c r="AT40" s="55"/>
      <c r="AU40" s="55"/>
      <c r="AV40" s="55"/>
    </row>
    <row r="41" spans="2:48" ht="17.100000000000001" customHeight="1">
      <c r="B41" s="10"/>
      <c r="C41" s="199" t="s">
        <v>124</v>
      </c>
      <c r="D41" s="200"/>
      <c r="E41" s="200"/>
      <c r="F41" s="200"/>
      <c r="G41" s="200"/>
      <c r="H41" s="200"/>
      <c r="I41" s="200"/>
      <c r="J41" s="200"/>
      <c r="K41" s="192">
        <f>AM41</f>
        <v>1.25</v>
      </c>
      <c r="L41" s="192"/>
      <c r="M41" s="216"/>
      <c r="N41" s="217"/>
      <c r="O41" s="17"/>
      <c r="P41" s="17"/>
      <c r="Q41" s="17"/>
      <c r="R41" s="17"/>
      <c r="S41" s="17"/>
      <c r="T41" s="17"/>
      <c r="U41" s="17"/>
      <c r="V41" s="17"/>
      <c r="W41" s="17"/>
      <c r="X41" s="17"/>
      <c r="Y41" s="17"/>
      <c r="Z41" s="17"/>
      <c r="AA41" s="17"/>
      <c r="AB41" s="17"/>
      <c r="AC41" s="20"/>
      <c r="AD41" s="53"/>
      <c r="AE41" s="53"/>
      <c r="AF41" s="65">
        <f>IF(AND(M33="Yes",M34&gt;=215/2,M35&lt;=3*215),1,0)</f>
        <v>0</v>
      </c>
      <c r="AG41" s="87">
        <f>IF(AND(M33="NO",M35&gt;=50,M35&lt;=215/2),1,0)</f>
        <v>0</v>
      </c>
      <c r="AH41" s="87">
        <f>IF(AND(M33="No",M35&gt;=215/2,M34&lt;=2*215),1,0)</f>
        <v>1</v>
      </c>
      <c r="AI41" s="87">
        <f>IF(AND(M33="No",M35&gt;215/2,M35&lt;=215,M36&gt;=M35,M34&lt;=6*M35),1,0)</f>
        <v>0</v>
      </c>
      <c r="AJ41" s="65">
        <f>IF(AND(M33="Yes",M34&gt;=215/2,M35&lt;=2*215),1,0)</f>
        <v>0</v>
      </c>
      <c r="AK41" s="87">
        <f>IF(AND(M33="No",M35&lt;=215/2,M35&gt;=50,M36&gt;=M35,M34&lt;=8*M35),1,0)</f>
        <v>0</v>
      </c>
      <c r="AL41" s="66">
        <f>IF(AND(M33="No",M35&gt;215/2,M35&lt;=215,M36&gt;=M35,M34&lt;=4*215),1,0)</f>
        <v>0</v>
      </c>
      <c r="AM41" s="66">
        <f>IF(AM40="Type 2",1.5,IF(AM40="Type 1",1.25,1))</f>
        <v>1.25</v>
      </c>
      <c r="AN41" s="55"/>
      <c r="AO41" s="55"/>
      <c r="AP41" s="55"/>
      <c r="AQ41" s="55"/>
      <c r="AR41" s="55"/>
      <c r="AS41" s="55"/>
      <c r="AT41" s="55"/>
      <c r="AU41" s="55"/>
      <c r="AV41" s="55"/>
    </row>
    <row r="42" spans="2:48" ht="17.100000000000001" customHeight="1">
      <c r="B42" s="10"/>
      <c r="C42" s="199" t="s">
        <v>125</v>
      </c>
      <c r="D42" s="200"/>
      <c r="E42" s="200"/>
      <c r="F42" s="200"/>
      <c r="G42" s="200"/>
      <c r="H42" s="200"/>
      <c r="I42" s="200"/>
      <c r="J42" s="200"/>
      <c r="K42" s="192">
        <f>M29/(M34*M35)*1000+M30/215</f>
        <v>1.751937984496124</v>
      </c>
      <c r="L42" s="192"/>
      <c r="M42" s="216" t="s">
        <v>144</v>
      </c>
      <c r="N42" s="217"/>
      <c r="O42" s="17"/>
      <c r="P42" s="278" t="s">
        <v>110</v>
      </c>
      <c r="Q42" s="279"/>
      <c r="R42" s="279"/>
      <c r="S42" s="279"/>
      <c r="T42" s="279"/>
      <c r="U42" s="279"/>
      <c r="V42" s="279"/>
      <c r="W42" s="279"/>
      <c r="X42" s="279"/>
      <c r="Y42" s="279"/>
      <c r="Z42" s="279"/>
      <c r="AA42" s="279"/>
      <c r="AB42" s="280"/>
      <c r="AC42" s="20"/>
      <c r="AD42" s="53"/>
      <c r="AE42" s="53"/>
      <c r="AF42" s="53"/>
      <c r="AG42" s="53"/>
      <c r="AH42" s="55"/>
      <c r="AI42" s="55"/>
      <c r="AJ42" s="55"/>
      <c r="AK42" s="55"/>
      <c r="AL42" s="55"/>
      <c r="AM42" s="55"/>
      <c r="AN42" s="55"/>
      <c r="AO42" s="55"/>
      <c r="AP42" s="55"/>
      <c r="AQ42" s="55"/>
      <c r="AR42" s="55"/>
      <c r="AS42" s="55"/>
      <c r="AT42" s="55"/>
      <c r="AU42" s="55"/>
      <c r="AV42" s="55"/>
    </row>
    <row r="43" spans="2:48" ht="17.100000000000001" customHeight="1">
      <c r="B43" s="10"/>
      <c r="C43" s="199" t="s">
        <v>127</v>
      </c>
      <c r="D43" s="200"/>
      <c r="E43" s="200"/>
      <c r="F43" s="200"/>
      <c r="G43" s="200"/>
      <c r="H43" s="200"/>
      <c r="I43" s="200"/>
      <c r="J43" s="200"/>
      <c r="K43" s="192">
        <f>K41*M21/Z11</f>
        <v>1.5714285714285714</v>
      </c>
      <c r="L43" s="192"/>
      <c r="M43" s="216" t="s">
        <v>144</v>
      </c>
      <c r="N43" s="217"/>
      <c r="O43" s="17"/>
      <c r="P43" s="206" t="s">
        <v>123</v>
      </c>
      <c r="Q43" s="207"/>
      <c r="R43" s="207"/>
      <c r="S43" s="207"/>
      <c r="T43" s="207"/>
      <c r="U43" s="207"/>
      <c r="V43" s="207"/>
      <c r="W43" s="207"/>
      <c r="X43" s="207"/>
      <c r="Y43" s="198" t="str">
        <f>IF(AF45=0,"Type 3",AM46)</f>
        <v>Type 3</v>
      </c>
      <c r="Z43" s="198"/>
      <c r="AA43" s="204"/>
      <c r="AB43" s="205"/>
      <c r="AC43" s="21"/>
      <c r="AD43" s="53"/>
      <c r="AE43" s="46"/>
      <c r="AN43" s="55"/>
      <c r="AO43" s="55"/>
      <c r="AP43" s="55"/>
      <c r="AQ43" s="55"/>
      <c r="AR43" s="55"/>
      <c r="AS43" s="55"/>
      <c r="AT43" s="55"/>
      <c r="AU43" s="55"/>
      <c r="AV43" s="55"/>
    </row>
    <row r="44" spans="2:48" ht="17.100000000000001" customHeight="1">
      <c r="B44" s="10"/>
      <c r="C44" s="186" t="s">
        <v>128</v>
      </c>
      <c r="D44" s="187"/>
      <c r="E44" s="187"/>
      <c r="F44" s="187"/>
      <c r="G44" s="187"/>
      <c r="H44" s="187"/>
      <c r="I44" s="187"/>
      <c r="J44" s="187"/>
      <c r="K44" s="215">
        <f>K42/K43</f>
        <v>1.1148696264975335</v>
      </c>
      <c r="L44" s="215"/>
      <c r="M44" s="216"/>
      <c r="N44" s="217"/>
      <c r="O44" s="17"/>
      <c r="P44" s="199" t="s">
        <v>124</v>
      </c>
      <c r="Q44" s="200"/>
      <c r="R44" s="200"/>
      <c r="S44" s="200"/>
      <c r="T44" s="200"/>
      <c r="U44" s="200"/>
      <c r="V44" s="200"/>
      <c r="W44" s="200"/>
      <c r="X44" s="200"/>
      <c r="Y44" s="192">
        <f>IF(AF45=0,2,AM47)</f>
        <v>2</v>
      </c>
      <c r="Z44" s="192"/>
      <c r="AA44" s="196"/>
      <c r="AB44" s="197"/>
      <c r="AC44" s="21"/>
      <c r="AD44" s="53"/>
      <c r="AE44" s="54"/>
      <c r="AF44" s="67">
        <f>IF(K43&lt;K42,1,0)</f>
        <v>1</v>
      </c>
      <c r="AG44" s="53"/>
      <c r="AH44" s="55"/>
      <c r="AI44" s="55"/>
      <c r="AJ44" s="55"/>
      <c r="AK44" s="55"/>
      <c r="AL44" s="55"/>
      <c r="AM44" s="55"/>
      <c r="AN44" s="55"/>
      <c r="AO44" s="55"/>
      <c r="AP44" s="55"/>
      <c r="AQ44" s="55"/>
      <c r="AR44" s="55"/>
      <c r="AS44" s="55"/>
      <c r="AT44" s="55"/>
      <c r="AU44" s="55"/>
      <c r="AV44" s="55"/>
    </row>
    <row r="45" spans="2:48" ht="17.100000000000001" customHeight="1">
      <c r="B45" s="10"/>
      <c r="C45" s="320" t="str">
        <f>IF(K42&gt;K43,"Design bearing stress exceeds allowable:", "Bearing stress below beam:")</f>
        <v>Design bearing stress exceeds allowable:</v>
      </c>
      <c r="D45" s="321"/>
      <c r="E45" s="321"/>
      <c r="F45" s="321"/>
      <c r="G45" s="321"/>
      <c r="H45" s="321"/>
      <c r="I45" s="321"/>
      <c r="J45" s="321"/>
      <c r="K45" s="322" t="str">
        <f>IF(K42&gt;K43,"Use spreader", "OK")</f>
        <v>Use spreader</v>
      </c>
      <c r="L45" s="322"/>
      <c r="M45" s="322"/>
      <c r="N45" s="323"/>
      <c r="O45" s="17"/>
      <c r="P45" s="201" t="str">
        <f>HLOOKUP($AK$50,$AG$52:$AJ$61,$AF53,FALSE)</f>
        <v>LOADING ACTS ECCENTRICALLY OUTSIDE MIDDLE THIRD</v>
      </c>
      <c r="Q45" s="202"/>
      <c r="R45" s="202"/>
      <c r="S45" s="202"/>
      <c r="T45" s="202"/>
      <c r="U45" s="202"/>
      <c r="V45" s="202"/>
      <c r="W45" s="202"/>
      <c r="X45" s="202"/>
      <c r="Y45" s="202"/>
      <c r="Z45" s="202"/>
      <c r="AA45" s="202"/>
      <c r="AB45" s="203"/>
      <c r="AC45" s="21"/>
      <c r="AD45" s="53"/>
      <c r="AE45" s="54"/>
      <c r="AF45" s="96">
        <f>MAX(0,AF33-(AA38-M34)/2)</f>
        <v>0</v>
      </c>
      <c r="AH45" s="18"/>
      <c r="AI45" s="18"/>
      <c r="AJ45" s="18"/>
      <c r="AK45" s="18"/>
      <c r="AL45" s="18"/>
      <c r="AM45" s="18"/>
      <c r="AN45" s="55"/>
      <c r="AO45" s="55"/>
      <c r="AP45" s="55"/>
      <c r="AQ45" s="55"/>
      <c r="AR45" s="55"/>
      <c r="AS45" s="55"/>
      <c r="AT45" s="55"/>
      <c r="AU45" s="55"/>
      <c r="AV45" s="55"/>
    </row>
    <row r="46" spans="2:48" ht="17.100000000000001" customHeight="1">
      <c r="B46" s="10"/>
      <c r="C46" s="17"/>
      <c r="D46" s="17"/>
      <c r="E46" s="17"/>
      <c r="F46" s="17"/>
      <c r="G46" s="17"/>
      <c r="H46" s="17"/>
      <c r="I46" s="17"/>
      <c r="J46" s="17"/>
      <c r="K46" s="17"/>
      <c r="L46" s="17"/>
      <c r="M46" s="17"/>
      <c r="N46" s="17"/>
      <c r="O46" s="17"/>
      <c r="P46" s="194" t="str">
        <f t="shared" ref="P46:P54" si="2">HLOOKUP($AK$50,$AG$52:$AJ$62,$AF54,FALSE)</f>
        <v>Offset distance =</v>
      </c>
      <c r="Q46" s="195"/>
      <c r="R46" s="195"/>
      <c r="S46" s="195"/>
      <c r="T46" s="195"/>
      <c r="U46" s="195"/>
      <c r="V46" s="195"/>
      <c r="W46" s="195"/>
      <c r="X46" s="195"/>
      <c r="Y46" s="192">
        <f t="shared" ref="Y46:Y54" si="3">IF(ISTEXT(HLOOKUP($AK$50,$AL$52:$AO$61,$AF53,FALSE)),HLOOKUP($AK$50,$AL$52:$AO$61,$AF53,FALSE),ROUND(HLOOKUP($AK$50,$AL$52:$AO$61,$AF53,FALSE),3))</f>
        <v>107.5</v>
      </c>
      <c r="Z46" s="192"/>
      <c r="AA46" s="196" t="str">
        <f>HLOOKUP($AK$50,$AQ$52:$AT$61,$AF53,FALSE)</f>
        <v>mm</v>
      </c>
      <c r="AB46" s="197"/>
      <c r="AC46" s="21"/>
      <c r="AD46" s="53"/>
      <c r="AE46" s="54"/>
      <c r="AF46" s="226" t="s">
        <v>32</v>
      </c>
      <c r="AG46" s="227"/>
      <c r="AH46" s="227"/>
      <c r="AI46" s="228"/>
      <c r="AJ46" s="226" t="s">
        <v>51</v>
      </c>
      <c r="AK46" s="227"/>
      <c r="AL46" s="228"/>
      <c r="AM46" s="85" t="str">
        <f>IF(OR(AJ47=1,AK47=1,AL47=1),AJ46,IF(OR(AF47=1,AG47=1,AH47=1,AI47=1),AF46,"Not applicable"))</f>
        <v>Type 1</v>
      </c>
      <c r="AN46" s="55"/>
      <c r="AO46" s="55"/>
      <c r="AP46" s="55"/>
      <c r="AQ46" s="55"/>
      <c r="AR46" s="55"/>
      <c r="AS46" s="55"/>
      <c r="AT46" s="55"/>
      <c r="AU46" s="55"/>
      <c r="AV46" s="55"/>
    </row>
    <row r="47" spans="2:48" ht="17.100000000000001" customHeight="1">
      <c r="B47" s="10"/>
      <c r="C47" s="164" t="s">
        <v>120</v>
      </c>
      <c r="D47" s="165"/>
      <c r="E47" s="165"/>
      <c r="F47" s="165"/>
      <c r="G47" s="165"/>
      <c r="H47" s="165"/>
      <c r="I47" s="165"/>
      <c r="J47" s="165"/>
      <c r="K47" s="165"/>
      <c r="L47" s="165"/>
      <c r="M47" s="165"/>
      <c r="N47" s="166"/>
      <c r="O47" s="17"/>
      <c r="P47" s="194" t="str">
        <f t="shared" si="2"/>
        <v>Design bearing stress =</v>
      </c>
      <c r="Q47" s="195"/>
      <c r="R47" s="195"/>
      <c r="S47" s="195"/>
      <c r="T47" s="195"/>
      <c r="U47" s="195"/>
      <c r="V47" s="195"/>
      <c r="W47" s="195"/>
      <c r="X47" s="195"/>
      <c r="Y47" s="192">
        <f t="shared" si="3"/>
        <v>1.639</v>
      </c>
      <c r="Z47" s="192"/>
      <c r="AA47" s="196" t="s">
        <v>144</v>
      </c>
      <c r="AB47" s="197"/>
      <c r="AC47" s="21"/>
      <c r="AD47" s="53"/>
      <c r="AE47" s="53"/>
      <c r="AF47" s="90">
        <f>IF(AND(M33="Yes",M34&gt;=215/2,M35&lt;=3*215),1,0)</f>
        <v>0</v>
      </c>
      <c r="AG47" s="91">
        <f>IF(AND(M33="NO",M35&gt;=50,M35&lt;=215/2),1,0)</f>
        <v>0</v>
      </c>
      <c r="AH47" s="91">
        <f>IF(AND(M33="No",M35&gt;=215/2,M34&lt;=2*215),1,0)</f>
        <v>1</v>
      </c>
      <c r="AI47" s="91">
        <f>IF(AND(M33="No",M35&gt;215/2,M35&lt;=215,AF45&gt;=M35,M34&lt;=6*M35),1,0)</f>
        <v>0</v>
      </c>
      <c r="AJ47" s="90">
        <f>IF(AND(M33="Yes",M34&gt;=215/2,M35&lt;=2*215),1,0)</f>
        <v>0</v>
      </c>
      <c r="AK47" s="91">
        <f>IF(AND(M33="No",M35&lt;=215/2,M35&gt;=50,AF45&gt;=M35,M34&lt;=8*M35),1,0)</f>
        <v>0</v>
      </c>
      <c r="AL47" s="92">
        <f>IF(AND(M33="No",M35&gt;215/2,M35&lt;=215,AF45&gt;=M35,M34&lt;=4*215),1,0)</f>
        <v>0</v>
      </c>
      <c r="AM47" s="84">
        <f>IF(AM46="Type 2",1.5,IF(AM46="Type 1",1.25,1))</f>
        <v>1.25</v>
      </c>
      <c r="AN47" s="55"/>
      <c r="AO47" s="55"/>
      <c r="AP47" s="55"/>
      <c r="AQ47" s="55"/>
      <c r="AR47" s="55"/>
      <c r="AS47" s="55"/>
      <c r="AT47" s="55"/>
      <c r="AU47" s="55"/>
      <c r="AV47" s="55"/>
    </row>
    <row r="48" spans="2:48" ht="17.100000000000001" customHeight="1">
      <c r="B48" s="10"/>
      <c r="C48" s="206" t="s">
        <v>132</v>
      </c>
      <c r="D48" s="207"/>
      <c r="E48" s="207"/>
      <c r="F48" s="207"/>
      <c r="G48" s="207"/>
      <c r="H48" s="207"/>
      <c r="I48" s="207"/>
      <c r="J48" s="207"/>
      <c r="K48" s="218">
        <f>AF14/M19</f>
        <v>9.7674418604651159</v>
      </c>
      <c r="L48" s="218"/>
      <c r="M48" s="324"/>
      <c r="N48" s="325"/>
      <c r="O48" s="17"/>
      <c r="P48" s="194" t="str">
        <f t="shared" si="2"/>
        <v>Allowable bearing stress =</v>
      </c>
      <c r="Q48" s="195"/>
      <c r="R48" s="195"/>
      <c r="S48" s="195"/>
      <c r="T48" s="195"/>
      <c r="U48" s="195"/>
      <c r="V48" s="195"/>
      <c r="W48" s="195"/>
      <c r="X48" s="195"/>
      <c r="Y48" s="192">
        <f t="shared" si="3"/>
        <v>2.5139999999999998</v>
      </c>
      <c r="Z48" s="192"/>
      <c r="AA48" s="196" t="str">
        <f>HLOOKUP($AK$50,$AQ$52:$AT$61,$AF55,FALSE)</f>
        <v>N/mm2</v>
      </c>
      <c r="AB48" s="197"/>
      <c r="AC48" s="21"/>
      <c r="AD48" s="53"/>
      <c r="AE48" s="53"/>
      <c r="AH48" s="18"/>
      <c r="AI48" s="18"/>
      <c r="AJ48" s="18"/>
      <c r="AK48" s="18"/>
      <c r="AL48" s="18"/>
      <c r="AM48" s="18"/>
      <c r="AN48" s="55"/>
      <c r="AO48" s="55"/>
      <c r="AP48" s="55"/>
      <c r="AQ48" s="55"/>
      <c r="AR48" s="55"/>
      <c r="AS48" s="55"/>
      <c r="AT48" s="55"/>
      <c r="AU48" s="55"/>
      <c r="AV48" s="55"/>
    </row>
    <row r="49" spans="2:48" ht="17.100000000000001" customHeight="1">
      <c r="B49" s="10"/>
      <c r="C49" s="199" t="s">
        <v>131</v>
      </c>
      <c r="D49" s="200"/>
      <c r="E49" s="200"/>
      <c r="F49" s="200"/>
      <c r="G49" s="200"/>
      <c r="H49" s="200"/>
      <c r="I49" s="200"/>
      <c r="J49" s="200"/>
      <c r="K49" s="219">
        <f>AH34</f>
        <v>32.5</v>
      </c>
      <c r="L49" s="219"/>
      <c r="M49" s="216" t="s">
        <v>17</v>
      </c>
      <c r="N49" s="217"/>
      <c r="O49" s="17"/>
      <c r="P49" s="194" t="str">
        <f t="shared" si="2"/>
        <v>Utilisation factor =</v>
      </c>
      <c r="Q49" s="195"/>
      <c r="R49" s="195"/>
      <c r="S49" s="195"/>
      <c r="T49" s="195"/>
      <c r="U49" s="195"/>
      <c r="V49" s="195"/>
      <c r="W49" s="195"/>
      <c r="X49" s="195"/>
      <c r="Y49" s="192">
        <f t="shared" si="3"/>
        <v>0.65200000000000002</v>
      </c>
      <c r="Z49" s="192"/>
      <c r="AA49" s="196" t="s">
        <v>145</v>
      </c>
      <c r="AB49" s="197"/>
      <c r="AC49" s="21"/>
      <c r="AD49" s="53"/>
      <c r="AE49" s="46"/>
      <c r="AF49" s="18" t="s">
        <v>57</v>
      </c>
      <c r="AG49" s="93">
        <f>IF(OR(AND(M33="No",M36&gt;(AA38-M34)/2),AND(M33="Yes",AA38=M35)),1,0)</f>
        <v>0</v>
      </c>
      <c r="AH49" s="94">
        <f>IF(OR(AND(M33="No",AF38=2,M36&lt;=(AA38-M34)/2),AND(M33="Yes",AF38=2,AA38&gt;M35)),1,0)</f>
        <v>0</v>
      </c>
      <c r="AI49" s="94">
        <f>IF(OR(AND(M33="No",AF38=1,M36&lt;=(AA38-M34)/2,(M36+M34/2)&gt;=AA38/3),AND(M33="Yes",AF38=1,M35/2&gt;=AA38/3)),1,0)</f>
        <v>0</v>
      </c>
      <c r="AJ49" s="95">
        <f>IF(OR(AND(M33="No",AF38=1,M36&lt;(AA38-M34)/2,(M36+M34/2)&lt;AA38/3),AND(M33="Yes",AF38=1,M35/2&lt;AA38/3)),1,0)</f>
        <v>1</v>
      </c>
      <c r="AK49" s="96"/>
      <c r="AL49" s="96"/>
      <c r="AM49" s="96"/>
      <c r="AN49" s="97"/>
      <c r="AO49" s="97"/>
      <c r="AP49" s="97"/>
      <c r="AQ49" s="97"/>
      <c r="AR49" s="97"/>
      <c r="AS49" s="97"/>
      <c r="AT49" s="97"/>
      <c r="AU49" s="55"/>
      <c r="AV49" s="55"/>
    </row>
    <row r="50" spans="2:48" ht="17.100000000000001" customHeight="1">
      <c r="B50" s="10"/>
      <c r="C50" s="199" t="s">
        <v>126</v>
      </c>
      <c r="D50" s="200"/>
      <c r="E50" s="200"/>
      <c r="F50" s="200"/>
      <c r="G50" s="200"/>
      <c r="H50" s="200"/>
      <c r="I50" s="200"/>
      <c r="J50" s="200"/>
      <c r="K50" s="215">
        <f>AL34</f>
        <v>0.76744186046511631</v>
      </c>
      <c r="L50" s="215"/>
      <c r="M50" s="216"/>
      <c r="N50" s="217"/>
      <c r="O50" s="17"/>
      <c r="P50" s="194" t="str">
        <f t="shared" si="2"/>
        <v>Bearing stress below spreader:</v>
      </c>
      <c r="Q50" s="195"/>
      <c r="R50" s="195"/>
      <c r="S50" s="195"/>
      <c r="T50" s="195"/>
      <c r="U50" s="195"/>
      <c r="V50" s="195"/>
      <c r="W50" s="195"/>
      <c r="X50" s="195"/>
      <c r="Y50" s="192" t="str">
        <f t="shared" si="3"/>
        <v>OK</v>
      </c>
      <c r="Z50" s="192"/>
      <c r="AA50" s="196" t="s">
        <v>146</v>
      </c>
      <c r="AB50" s="197"/>
      <c r="AC50" s="21"/>
      <c r="AD50" s="53"/>
      <c r="AF50" s="18" t="s">
        <v>56</v>
      </c>
      <c r="AG50" s="98">
        <v>1</v>
      </c>
      <c r="AH50" s="99">
        <v>2</v>
      </c>
      <c r="AI50" s="99">
        <v>3</v>
      </c>
      <c r="AJ50" s="100">
        <v>4</v>
      </c>
      <c r="AK50" s="100">
        <f>HLOOKUP(1,AG49:AJ50,2,FALSE)</f>
        <v>4</v>
      </c>
      <c r="AL50" s="96"/>
      <c r="AM50" s="96"/>
      <c r="AN50" s="97"/>
      <c r="AO50" s="97"/>
      <c r="AP50" s="97"/>
      <c r="AQ50" s="97"/>
      <c r="AR50" s="97"/>
      <c r="AS50" s="97"/>
      <c r="AT50" s="97"/>
      <c r="AU50" s="55"/>
      <c r="AV50" s="55"/>
    </row>
    <row r="51" spans="2:48" ht="17.100000000000001" customHeight="1">
      <c r="B51" s="10"/>
      <c r="C51" s="199" t="s">
        <v>130</v>
      </c>
      <c r="D51" s="200"/>
      <c r="E51" s="200"/>
      <c r="F51" s="200"/>
      <c r="G51" s="200"/>
      <c r="H51" s="200"/>
      <c r="I51" s="200"/>
      <c r="J51" s="200"/>
      <c r="K51" s="220">
        <f>IF(M33="Yes",0.4*AF13+M35,IF(M36&lt;0.4*AF13,M36+M34+0.4*AF13,0.8*AF13+M34))</f>
        <v>1335</v>
      </c>
      <c r="L51" s="220"/>
      <c r="M51" s="216" t="s">
        <v>17</v>
      </c>
      <c r="N51" s="217"/>
      <c r="O51" s="17"/>
      <c r="P51" s="194" t="str">
        <f t="shared" si="2"/>
        <v xml:space="preserve"> </v>
      </c>
      <c r="Q51" s="195"/>
      <c r="R51" s="195"/>
      <c r="S51" s="195"/>
      <c r="T51" s="195"/>
      <c r="U51" s="195"/>
      <c r="V51" s="195"/>
      <c r="W51" s="195"/>
      <c r="X51" s="195"/>
      <c r="Y51" s="192" t="str">
        <f t="shared" si="3"/>
        <v xml:space="preserve"> </v>
      </c>
      <c r="Z51" s="192"/>
      <c r="AA51" s="196" t="s">
        <v>144</v>
      </c>
      <c r="AB51" s="197"/>
      <c r="AC51" s="21"/>
      <c r="AD51" s="53"/>
      <c r="AG51" s="96"/>
      <c r="AH51" s="96"/>
      <c r="AI51" s="96"/>
      <c r="AJ51" s="96"/>
      <c r="AK51" s="96"/>
      <c r="AL51" s="96"/>
      <c r="AM51" s="96"/>
      <c r="AN51" s="96"/>
      <c r="AO51" s="97"/>
      <c r="AP51" s="97"/>
      <c r="AQ51" s="97"/>
      <c r="AR51" s="97"/>
      <c r="AS51" s="97"/>
      <c r="AT51" s="97"/>
      <c r="AU51" s="55"/>
      <c r="AV51" s="55"/>
    </row>
    <row r="52" spans="2:48" ht="17.100000000000001" customHeight="1">
      <c r="B52" s="10"/>
      <c r="C52" s="199" t="s">
        <v>129</v>
      </c>
      <c r="D52" s="200"/>
      <c r="E52" s="200"/>
      <c r="F52" s="200"/>
      <c r="G52" s="200"/>
      <c r="H52" s="200"/>
      <c r="I52" s="200"/>
      <c r="J52" s="200"/>
      <c r="K52" s="215">
        <f>M29*1000/(K51*215)+M30/215</f>
        <v>0.32070377144848006</v>
      </c>
      <c r="L52" s="215"/>
      <c r="M52" s="216" t="s">
        <v>144</v>
      </c>
      <c r="N52" s="217"/>
      <c r="O52" s="17"/>
      <c r="P52" s="194" t="str">
        <f t="shared" si="2"/>
        <v xml:space="preserve"> </v>
      </c>
      <c r="Q52" s="195"/>
      <c r="R52" s="195"/>
      <c r="S52" s="195"/>
      <c r="T52" s="195"/>
      <c r="U52" s="195"/>
      <c r="V52" s="195"/>
      <c r="W52" s="195"/>
      <c r="X52" s="195"/>
      <c r="Y52" s="192" t="str">
        <f t="shared" si="3"/>
        <v xml:space="preserve"> </v>
      </c>
      <c r="Z52" s="192"/>
      <c r="AA52" s="196" t="s">
        <v>144</v>
      </c>
      <c r="AB52" s="197"/>
      <c r="AC52" s="21"/>
      <c r="AD52" s="53"/>
      <c r="AF52" s="3">
        <v>1</v>
      </c>
      <c r="AG52" s="101">
        <v>1</v>
      </c>
      <c r="AH52" s="102">
        <v>2</v>
      </c>
      <c r="AI52" s="102">
        <v>3</v>
      </c>
      <c r="AJ52" s="103">
        <v>4</v>
      </c>
      <c r="AK52" s="96"/>
      <c r="AL52" s="101">
        <v>1</v>
      </c>
      <c r="AM52" s="102">
        <v>2</v>
      </c>
      <c r="AN52" s="102">
        <v>3</v>
      </c>
      <c r="AO52" s="103">
        <v>4</v>
      </c>
      <c r="AP52" s="96"/>
      <c r="AQ52" s="101">
        <v>1</v>
      </c>
      <c r="AR52" s="102">
        <v>2</v>
      </c>
      <c r="AS52" s="102">
        <v>3</v>
      </c>
      <c r="AT52" s="103">
        <v>4</v>
      </c>
      <c r="AU52" s="55"/>
      <c r="AV52" s="55"/>
    </row>
    <row r="53" spans="2:48" ht="17.100000000000001" customHeight="1">
      <c r="B53" s="10"/>
      <c r="C53" s="199" t="s">
        <v>127</v>
      </c>
      <c r="D53" s="200"/>
      <c r="E53" s="200"/>
      <c r="F53" s="200"/>
      <c r="G53" s="200"/>
      <c r="H53" s="200"/>
      <c r="I53" s="200"/>
      <c r="J53" s="200"/>
      <c r="K53" s="215">
        <f>K50*M21/Z11</f>
        <v>0.96478405315614624</v>
      </c>
      <c r="L53" s="215"/>
      <c r="M53" s="216" t="s">
        <v>144</v>
      </c>
      <c r="N53" s="217"/>
      <c r="O53" s="17"/>
      <c r="P53" s="194" t="str">
        <f t="shared" si="2"/>
        <v xml:space="preserve"> </v>
      </c>
      <c r="Q53" s="195"/>
      <c r="R53" s="195"/>
      <c r="S53" s="195"/>
      <c r="T53" s="195"/>
      <c r="U53" s="195"/>
      <c r="V53" s="195"/>
      <c r="W53" s="195"/>
      <c r="X53" s="195"/>
      <c r="Y53" s="192" t="str">
        <f t="shared" si="3"/>
        <v xml:space="preserve"> </v>
      </c>
      <c r="Z53" s="192"/>
      <c r="AA53" s="196"/>
      <c r="AB53" s="197"/>
      <c r="AC53" s="21"/>
      <c r="AD53" s="53"/>
      <c r="AF53" s="3">
        <v>2</v>
      </c>
      <c r="AG53" s="104" t="s">
        <v>140</v>
      </c>
      <c r="AH53" s="105" t="s">
        <v>141</v>
      </c>
      <c r="AI53" s="105" t="s">
        <v>142</v>
      </c>
      <c r="AJ53" s="106" t="s">
        <v>143</v>
      </c>
      <c r="AK53" s="96"/>
      <c r="AL53" s="122">
        <f>M29*1000/(AA38*215)+M30/215</f>
        <v>0.68921775898520088</v>
      </c>
      <c r="AM53" s="19">
        <f>700*M21/1000</f>
        <v>3.0800000000000005</v>
      </c>
      <c r="AN53" s="19">
        <f>IF(M33="Yes",(AA38-M35)/2,(AA38-M34)/2-M36)</f>
        <v>112.5</v>
      </c>
      <c r="AO53" s="116">
        <f>IF(M33="Yes",M35/2,M36+M34/2)</f>
        <v>107.5</v>
      </c>
      <c r="AP53" s="96"/>
      <c r="AQ53" s="104" t="s">
        <v>33</v>
      </c>
      <c r="AR53" s="105" t="s">
        <v>52</v>
      </c>
      <c r="AS53" s="105" t="s">
        <v>17</v>
      </c>
      <c r="AT53" s="106" t="s">
        <v>17</v>
      </c>
      <c r="AU53" s="55"/>
      <c r="AV53" s="55"/>
    </row>
    <row r="54" spans="2:48" ht="17.100000000000001" customHeight="1">
      <c r="B54" s="10"/>
      <c r="C54" s="186" t="s">
        <v>128</v>
      </c>
      <c r="D54" s="187"/>
      <c r="E54" s="187"/>
      <c r="F54" s="187"/>
      <c r="G54" s="187"/>
      <c r="H54" s="187"/>
      <c r="I54" s="187"/>
      <c r="J54" s="187"/>
      <c r="K54" s="215">
        <f>IF(K53=0,"ERROR",K52/K53)</f>
        <v>0.33240990084708161</v>
      </c>
      <c r="L54" s="215"/>
      <c r="M54" s="216"/>
      <c r="N54" s="217"/>
      <c r="O54" s="17"/>
      <c r="P54" s="173" t="str">
        <f t="shared" si="2"/>
        <v xml:space="preserve"> </v>
      </c>
      <c r="Q54" s="174"/>
      <c r="R54" s="174"/>
      <c r="S54" s="174"/>
      <c r="T54" s="174"/>
      <c r="U54" s="174"/>
      <c r="V54" s="174"/>
      <c r="W54" s="174"/>
      <c r="X54" s="174"/>
      <c r="Y54" s="193" t="str">
        <f t="shared" si="3"/>
        <v xml:space="preserve"> </v>
      </c>
      <c r="Z54" s="193"/>
      <c r="AA54" s="190"/>
      <c r="AB54" s="191"/>
      <c r="AC54" s="21"/>
      <c r="AD54" s="53"/>
      <c r="AE54" s="53"/>
      <c r="AF54" s="3">
        <v>3</v>
      </c>
      <c r="AG54" s="104" t="s">
        <v>125</v>
      </c>
      <c r="AH54" s="105" t="s">
        <v>147</v>
      </c>
      <c r="AI54" s="105" t="s">
        <v>151</v>
      </c>
      <c r="AJ54" s="106" t="s">
        <v>152</v>
      </c>
      <c r="AK54" s="96"/>
      <c r="AL54" s="122">
        <f>Y44*M21/Z11</f>
        <v>2.5142857142857147</v>
      </c>
      <c r="AM54" s="19">
        <v>30</v>
      </c>
      <c r="AN54" s="47">
        <f>M29*1000*(1+(6*AN53/AA38))/(AA38*215)+M30/215</f>
        <v>1.5324812608110705</v>
      </c>
      <c r="AO54" s="123">
        <f>2*M29*1000/(3*AO53*215)+M30/215</f>
        <v>1.639444744907157</v>
      </c>
      <c r="AP54" s="96"/>
      <c r="AQ54" s="104" t="s">
        <v>33</v>
      </c>
      <c r="AR54" s="105" t="s">
        <v>52</v>
      </c>
      <c r="AS54" s="105" t="s">
        <v>33</v>
      </c>
      <c r="AT54" s="106" t="s">
        <v>33</v>
      </c>
      <c r="AU54" s="55"/>
      <c r="AV54" s="55"/>
    </row>
    <row r="55" spans="2:48" ht="17.100000000000001" customHeight="1">
      <c r="B55" s="10"/>
      <c r="C55" s="320" t="str">
        <f>IF(K52&lt;K53,"Design bearing stress at 0.4 h below beam:","Design bearing stress at 0.4 h below beam:")</f>
        <v>Design bearing stress at 0.4 h below beam:</v>
      </c>
      <c r="D55" s="321"/>
      <c r="E55" s="321"/>
      <c r="F55" s="321"/>
      <c r="G55" s="321"/>
      <c r="H55" s="321"/>
      <c r="I55" s="321"/>
      <c r="J55" s="321"/>
      <c r="K55" s="322" t="str">
        <f>IF(K52&lt;K53,"OK","NOT OK")</f>
        <v>OK</v>
      </c>
      <c r="L55" s="322"/>
      <c r="M55" s="322"/>
      <c r="N55" s="323"/>
      <c r="O55" s="17"/>
      <c r="P55" s="17"/>
      <c r="Q55" s="17"/>
      <c r="R55" s="17"/>
      <c r="S55" s="17"/>
      <c r="T55" s="17"/>
      <c r="U55" s="17"/>
      <c r="V55" s="17"/>
      <c r="W55" s="17"/>
      <c r="X55" s="17"/>
      <c r="Y55" s="17"/>
      <c r="Z55" s="17"/>
      <c r="AA55" s="17"/>
      <c r="AB55" s="17"/>
      <c r="AC55" s="15"/>
      <c r="AD55" s="53"/>
      <c r="AE55" s="53"/>
      <c r="AF55" s="3">
        <v>4</v>
      </c>
      <c r="AG55" s="104" t="s">
        <v>127</v>
      </c>
      <c r="AH55" s="105" t="s">
        <v>148</v>
      </c>
      <c r="AI55" s="105" t="s">
        <v>125</v>
      </c>
      <c r="AJ55" s="106" t="s">
        <v>125</v>
      </c>
      <c r="AK55" s="96"/>
      <c r="AL55" s="122">
        <f>AL53/AL54</f>
        <v>0.27412069959638669</v>
      </c>
      <c r="AM55" s="19">
        <f>AM53*1000/AF13</f>
        <v>1.1000000000000001</v>
      </c>
      <c r="AN55" s="47">
        <f>Y44*M21/Z11</f>
        <v>2.5142857142857147</v>
      </c>
      <c r="AO55" s="123">
        <f>Y44*M21/Z11</f>
        <v>2.5142857142857147</v>
      </c>
      <c r="AP55" s="96"/>
      <c r="AQ55" s="104" t="s">
        <v>58</v>
      </c>
      <c r="AR55" s="105" t="s">
        <v>53</v>
      </c>
      <c r="AS55" s="105" t="s">
        <v>33</v>
      </c>
      <c r="AT55" s="106" t="s">
        <v>33</v>
      </c>
      <c r="AU55" s="55"/>
      <c r="AV55" s="55"/>
    </row>
    <row r="56" spans="2:48" ht="17.100000000000001" customHeight="1">
      <c r="B56" s="10"/>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5"/>
      <c r="AD56" s="53"/>
      <c r="AE56" s="53"/>
      <c r="AF56" s="3">
        <v>5</v>
      </c>
      <c r="AG56" s="104" t="s">
        <v>128</v>
      </c>
      <c r="AH56" s="105" t="s">
        <v>149</v>
      </c>
      <c r="AI56" s="105" t="s">
        <v>127</v>
      </c>
      <c r="AJ56" s="106" t="s">
        <v>127</v>
      </c>
      <c r="AK56" s="96"/>
      <c r="AL56" s="122" t="str">
        <f>IF(AL53&gt;AL54,"NOT OK", "OK")</f>
        <v>OK</v>
      </c>
      <c r="AM56" s="121">
        <f>215*AA39^3/12</f>
        <v>178062552.08333334</v>
      </c>
      <c r="AN56" s="47">
        <f>AN54/AN55</f>
        <v>0.60950959236803925</v>
      </c>
      <c r="AO56" s="123">
        <f>AO54/AO55</f>
        <v>0.65205188717898277</v>
      </c>
      <c r="AP56" s="96"/>
      <c r="AQ56" s="104" t="s">
        <v>58</v>
      </c>
      <c r="AR56" s="105" t="s">
        <v>54</v>
      </c>
      <c r="AS56" s="105" t="s">
        <v>58</v>
      </c>
      <c r="AT56" s="106" t="s">
        <v>58</v>
      </c>
      <c r="AU56" s="55"/>
      <c r="AV56" s="55"/>
    </row>
    <row r="57" spans="2:48" ht="17.100000000000001" customHeight="1">
      <c r="B57" s="10"/>
      <c r="C57" s="164" t="s">
        <v>165</v>
      </c>
      <c r="D57" s="165"/>
      <c r="E57" s="165"/>
      <c r="F57" s="165"/>
      <c r="G57" s="165"/>
      <c r="H57" s="165"/>
      <c r="I57" s="165"/>
      <c r="J57" s="165"/>
      <c r="K57" s="165"/>
      <c r="L57" s="165"/>
      <c r="M57" s="165"/>
      <c r="N57" s="166"/>
      <c r="O57" s="17"/>
      <c r="P57" s="17"/>
      <c r="Q57" s="17"/>
      <c r="R57" s="17"/>
      <c r="S57" s="17"/>
      <c r="T57" s="17"/>
      <c r="U57" s="17"/>
      <c r="V57" s="17"/>
      <c r="W57" s="17"/>
      <c r="X57" s="17"/>
      <c r="Y57" s="17"/>
      <c r="Z57" s="17"/>
      <c r="AA57" s="17"/>
      <c r="AB57" s="17"/>
      <c r="AC57" s="15"/>
      <c r="AD57" s="53"/>
      <c r="AF57" s="3">
        <v>6</v>
      </c>
      <c r="AG57" s="104" t="str">
        <f>IF(AL53&gt;AL54,"Design bearing stress exceeds allowable:", "Bearing stress below spreader:")</f>
        <v>Bearing stress below spreader:</v>
      </c>
      <c r="AH57" s="105" t="s">
        <v>150</v>
      </c>
      <c r="AI57" s="105" t="s">
        <v>128</v>
      </c>
      <c r="AJ57" s="106" t="s">
        <v>128</v>
      </c>
      <c r="AK57" s="96"/>
      <c r="AL57" s="115" t="s">
        <v>58</v>
      </c>
      <c r="AM57" s="121">
        <f>(215*AM55/(4*AM54*1000*AM56))^(1/4)</f>
        <v>1.8239768685275801E-3</v>
      </c>
      <c r="AN57" s="47" t="str">
        <f>IF(AN54&gt;AN55,"NOT OK", "OK")</f>
        <v>OK</v>
      </c>
      <c r="AO57" s="123" t="str">
        <f>IF(AO54&gt;AO55,"NOT OK", "OK")</f>
        <v>OK</v>
      </c>
      <c r="AP57" s="96"/>
      <c r="AQ57" s="104" t="s">
        <v>58</v>
      </c>
      <c r="AR57" s="105" t="s">
        <v>55</v>
      </c>
      <c r="AS57" s="105" t="s">
        <v>58</v>
      </c>
      <c r="AT57" s="106" t="s">
        <v>58</v>
      </c>
      <c r="AU57" s="55"/>
      <c r="AV57" s="55"/>
    </row>
    <row r="58" spans="2:48" ht="17.100000000000001" customHeight="1">
      <c r="B58" s="10"/>
      <c r="C58" s="167" t="s">
        <v>163</v>
      </c>
      <c r="D58" s="168"/>
      <c r="E58" s="168"/>
      <c r="F58" s="168"/>
      <c r="G58" s="168"/>
      <c r="H58" s="168"/>
      <c r="I58" s="168"/>
      <c r="J58" s="168"/>
      <c r="K58" s="168"/>
      <c r="L58" s="168"/>
      <c r="M58" s="168"/>
      <c r="N58" s="169"/>
      <c r="O58" s="17"/>
      <c r="P58" s="17"/>
      <c r="Q58" s="17"/>
      <c r="R58" s="17"/>
      <c r="S58" s="17"/>
      <c r="T58" s="17"/>
      <c r="U58" s="17"/>
      <c r="V58" s="17"/>
      <c r="W58" s="17"/>
      <c r="X58" s="17"/>
      <c r="Y58" s="17"/>
      <c r="Z58" s="17"/>
      <c r="AA58" s="17"/>
      <c r="AB58" s="17"/>
      <c r="AC58" s="15"/>
      <c r="AD58" s="53"/>
      <c r="AF58" s="3">
        <v>7</v>
      </c>
      <c r="AG58" s="104" t="s">
        <v>58</v>
      </c>
      <c r="AH58" s="105" t="s">
        <v>166</v>
      </c>
      <c r="AI58" s="105" t="str">
        <f>IF(AN54&gt;AN55,"Design bearing stress exceeds allowable:", "Bearing stress below spreader:")</f>
        <v>Bearing stress below spreader:</v>
      </c>
      <c r="AJ58" s="106" t="str">
        <f>IF(AO54&gt;AO55,"Design bearing stress exceeds allowable:", "Bearing stress below spreader:")</f>
        <v>Bearing stress below spreader:</v>
      </c>
      <c r="AK58" s="96"/>
      <c r="AL58" s="115" t="s">
        <v>58</v>
      </c>
      <c r="AM58" s="47">
        <f>AM55*M29/(2*AM57^3*AM54*AM56)+M30/215</f>
        <v>1.0218306712877596</v>
      </c>
      <c r="AN58" s="19" t="s">
        <v>58</v>
      </c>
      <c r="AO58" s="116" t="s">
        <v>58</v>
      </c>
      <c r="AP58" s="96"/>
      <c r="AQ58" s="104" t="s">
        <v>58</v>
      </c>
      <c r="AR58" s="105" t="s">
        <v>33</v>
      </c>
      <c r="AS58" s="105" t="s">
        <v>58</v>
      </c>
      <c r="AT58" s="106" t="s">
        <v>58</v>
      </c>
      <c r="AU58" s="55"/>
      <c r="AV58" s="55"/>
    </row>
    <row r="59" spans="2:48" ht="17.100000000000001" customHeight="1">
      <c r="B59" s="10"/>
      <c r="C59" s="170" t="s">
        <v>164</v>
      </c>
      <c r="D59" s="171"/>
      <c r="E59" s="171"/>
      <c r="F59" s="171"/>
      <c r="G59" s="171"/>
      <c r="H59" s="171"/>
      <c r="I59" s="171"/>
      <c r="J59" s="171"/>
      <c r="K59" s="171"/>
      <c r="L59" s="171"/>
      <c r="M59" s="171"/>
      <c r="N59" s="172"/>
      <c r="O59" s="17"/>
      <c r="P59" s="17"/>
      <c r="Q59" s="17"/>
      <c r="R59" s="17"/>
      <c r="S59" s="17"/>
      <c r="T59" s="17"/>
      <c r="U59" s="17"/>
      <c r="V59" s="17"/>
      <c r="W59" s="17"/>
      <c r="X59" s="17"/>
      <c r="Y59" s="17"/>
      <c r="Z59" s="17"/>
      <c r="AA59" s="17"/>
      <c r="AB59" s="17"/>
      <c r="AC59" s="15"/>
      <c r="AD59" s="53"/>
      <c r="AF59" s="3">
        <v>8</v>
      </c>
      <c r="AG59" s="104" t="s">
        <v>58</v>
      </c>
      <c r="AH59" s="105" t="s">
        <v>125</v>
      </c>
      <c r="AI59" s="105" t="s">
        <v>58</v>
      </c>
      <c r="AJ59" s="106" t="s">
        <v>58</v>
      </c>
      <c r="AK59" s="96"/>
      <c r="AL59" s="115" t="s">
        <v>58</v>
      </c>
      <c r="AM59" s="47">
        <f>Y44*M21/Z11</f>
        <v>2.5142857142857147</v>
      </c>
      <c r="AN59" s="19" t="s">
        <v>58</v>
      </c>
      <c r="AO59" s="116" t="s">
        <v>58</v>
      </c>
      <c r="AP59" s="96"/>
      <c r="AQ59" s="104" t="s">
        <v>58</v>
      </c>
      <c r="AR59" s="105" t="s">
        <v>33</v>
      </c>
      <c r="AS59" s="105" t="s">
        <v>58</v>
      </c>
      <c r="AT59" s="106" t="s">
        <v>58</v>
      </c>
      <c r="AU59" s="55"/>
      <c r="AV59" s="55"/>
    </row>
    <row r="60" spans="2:48" ht="17.100000000000001" customHeight="1">
      <c r="B60" s="10"/>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5"/>
      <c r="AD60" s="53"/>
      <c r="AF60" s="3">
        <v>9</v>
      </c>
      <c r="AG60" s="104" t="s">
        <v>58</v>
      </c>
      <c r="AH60" s="105" t="s">
        <v>127</v>
      </c>
      <c r="AI60" s="105" t="s">
        <v>58</v>
      </c>
      <c r="AJ60" s="106" t="s">
        <v>58</v>
      </c>
      <c r="AK60" s="96"/>
      <c r="AL60" s="115" t="s">
        <v>58</v>
      </c>
      <c r="AM60" s="47">
        <f>AM58/AM59</f>
        <v>0.40640992608035886</v>
      </c>
      <c r="AN60" s="19" t="s">
        <v>58</v>
      </c>
      <c r="AO60" s="116" t="s">
        <v>58</v>
      </c>
      <c r="AP60" s="96"/>
      <c r="AQ60" s="104" t="s">
        <v>58</v>
      </c>
      <c r="AR60" s="105" t="s">
        <v>58</v>
      </c>
      <c r="AS60" s="105" t="s">
        <v>58</v>
      </c>
      <c r="AT60" s="106" t="s">
        <v>58</v>
      </c>
    </row>
    <row r="61" spans="2:48" ht="17.100000000000001" customHeight="1" thickBot="1">
      <c r="B61" s="50"/>
      <c r="C61" s="240" t="s">
        <v>80</v>
      </c>
      <c r="D61" s="240"/>
      <c r="E61" s="240"/>
      <c r="F61" s="240"/>
      <c r="G61" s="240"/>
      <c r="H61" s="240"/>
      <c r="I61" s="240"/>
      <c r="J61" s="240"/>
      <c r="K61" s="240"/>
      <c r="L61" s="240"/>
      <c r="M61" s="240"/>
      <c r="N61" s="240"/>
      <c r="O61" s="240"/>
      <c r="P61" s="239" t="s">
        <v>133</v>
      </c>
      <c r="Q61" s="239"/>
      <c r="R61" s="239"/>
      <c r="S61" s="239"/>
      <c r="T61" s="239"/>
      <c r="U61" s="239"/>
      <c r="V61" s="239"/>
      <c r="W61" s="239"/>
      <c r="X61" s="239"/>
      <c r="Y61" s="239"/>
      <c r="Z61" s="239"/>
      <c r="AA61" s="239"/>
      <c r="AB61" s="239"/>
      <c r="AC61" s="51"/>
      <c r="AD61" s="53"/>
      <c r="AF61" s="3">
        <v>10</v>
      </c>
      <c r="AG61" s="104" t="s">
        <v>58</v>
      </c>
      <c r="AH61" s="105" t="s">
        <v>128</v>
      </c>
      <c r="AI61" s="105" t="s">
        <v>58</v>
      </c>
      <c r="AJ61" s="106" t="s">
        <v>58</v>
      </c>
      <c r="AK61" s="96"/>
      <c r="AL61" s="117" t="s">
        <v>58</v>
      </c>
      <c r="AM61" s="125" t="str">
        <f>IF(AM58&gt;AM59,"NOT OK", "OK")</f>
        <v>OK</v>
      </c>
      <c r="AN61" s="118" t="s">
        <v>58</v>
      </c>
      <c r="AO61" s="119" t="s">
        <v>58</v>
      </c>
      <c r="AP61" s="96"/>
      <c r="AQ61" s="107" t="s">
        <v>58</v>
      </c>
      <c r="AR61" s="108" t="s">
        <v>58</v>
      </c>
      <c r="AS61" s="108" t="s">
        <v>58</v>
      </c>
      <c r="AT61" s="109" t="s">
        <v>58</v>
      </c>
    </row>
    <row r="62" spans="2:48" ht="17.100000000000001" customHeight="1">
      <c r="B62" s="22"/>
      <c r="AD62" s="53"/>
      <c r="AF62" s="48">
        <v>11</v>
      </c>
      <c r="AG62" s="126" t="s">
        <v>58</v>
      </c>
      <c r="AH62" s="22" t="str">
        <f>IF(AM58&gt;AM59,"Design bearing stress exceeds allowable:", "Bearing stress below spreader:")</f>
        <v>Bearing stress below spreader:</v>
      </c>
      <c r="AI62" s="22" t="s">
        <v>58</v>
      </c>
      <c r="AJ62" s="127" t="s">
        <v>58</v>
      </c>
    </row>
    <row r="63" spans="2:48">
      <c r="AD63" s="56"/>
      <c r="AE63" s="56"/>
      <c r="AG63" s="83" t="s">
        <v>58</v>
      </c>
      <c r="AH63" s="88" t="s">
        <v>58</v>
      </c>
      <c r="AI63" s="88" t="s">
        <v>58</v>
      </c>
      <c r="AJ63" s="52" t="s">
        <v>58</v>
      </c>
    </row>
    <row r="64" spans="2:48">
      <c r="AD64" s="56"/>
      <c r="AE64" s="56"/>
    </row>
    <row r="65" spans="30:31">
      <c r="AD65" s="56"/>
      <c r="AE65" s="56"/>
    </row>
    <row r="66" spans="30:31">
      <c r="AD66" s="56"/>
      <c r="AE66" s="56"/>
    </row>
    <row r="67" spans="30:31">
      <c r="AD67" s="56"/>
    </row>
    <row r="68" spans="30:31">
      <c r="AD68" s="56"/>
    </row>
  </sheetData>
  <sheetProtection password="CD8C" sheet="1" objects="1" scenarios="1"/>
  <mergeCells count="188">
    <mergeCell ref="P37:AB37"/>
    <mergeCell ref="C27:J27"/>
    <mergeCell ref="C28:J28"/>
    <mergeCell ref="C29:L29"/>
    <mergeCell ref="K27:L27"/>
    <mergeCell ref="C55:J55"/>
    <mergeCell ref="C45:J45"/>
    <mergeCell ref="K45:N45"/>
    <mergeCell ref="K55:N55"/>
    <mergeCell ref="P39:Z39"/>
    <mergeCell ref="C53:J53"/>
    <mergeCell ref="C52:J52"/>
    <mergeCell ref="M41:N41"/>
    <mergeCell ref="M42:N42"/>
    <mergeCell ref="M43:N43"/>
    <mergeCell ref="M48:N48"/>
    <mergeCell ref="M49:N49"/>
    <mergeCell ref="P42:AB42"/>
    <mergeCell ref="C50:J50"/>
    <mergeCell ref="K40:L40"/>
    <mergeCell ref="K41:L41"/>
    <mergeCell ref="K42:L42"/>
    <mergeCell ref="K43:L43"/>
    <mergeCell ref="M40:N40"/>
    <mergeCell ref="B1:P1"/>
    <mergeCell ref="Q1:AC1"/>
    <mergeCell ref="E2:O5"/>
    <mergeCell ref="P2:V4"/>
    <mergeCell ref="W2:AB2"/>
    <mergeCell ref="W3:Y3"/>
    <mergeCell ref="Z3:AC3"/>
    <mergeCell ref="W4:Y4"/>
    <mergeCell ref="Z4:AC4"/>
    <mergeCell ref="P5:R5"/>
    <mergeCell ref="S5:V5"/>
    <mergeCell ref="W5:Y5"/>
    <mergeCell ref="Z5:AC5"/>
    <mergeCell ref="M14:N14"/>
    <mergeCell ref="C20:L20"/>
    <mergeCell ref="M20:N20"/>
    <mergeCell ref="C10:E10"/>
    <mergeCell ref="F10:N10"/>
    <mergeCell ref="M13:N13"/>
    <mergeCell ref="M19:N19"/>
    <mergeCell ref="M16:N16"/>
    <mergeCell ref="C15:L15"/>
    <mergeCell ref="C16:L16"/>
    <mergeCell ref="C17:L17"/>
    <mergeCell ref="M18:N18"/>
    <mergeCell ref="C18:L18"/>
    <mergeCell ref="Z6:AC6"/>
    <mergeCell ref="P18:AB18"/>
    <mergeCell ref="K24:L24"/>
    <mergeCell ref="M24:N24"/>
    <mergeCell ref="K25:L25"/>
    <mergeCell ref="M25:N25"/>
    <mergeCell ref="P6:R6"/>
    <mergeCell ref="S6:V6"/>
    <mergeCell ref="W6:Y6"/>
    <mergeCell ref="P8:AB8"/>
    <mergeCell ref="P13:AB13"/>
    <mergeCell ref="P9:Y9"/>
    <mergeCell ref="P10:Y10"/>
    <mergeCell ref="Z9:AB9"/>
    <mergeCell ref="Z10:AB10"/>
    <mergeCell ref="M17:N17"/>
    <mergeCell ref="P11:Y11"/>
    <mergeCell ref="Z11:AB11"/>
    <mergeCell ref="C22:N22"/>
    <mergeCell ref="M21:N21"/>
    <mergeCell ref="C6:D6"/>
    <mergeCell ref="E6:O6"/>
    <mergeCell ref="C21:L21"/>
    <mergeCell ref="C19:L19"/>
    <mergeCell ref="P61:AB61"/>
    <mergeCell ref="C61:O61"/>
    <mergeCell ref="C8:N8"/>
    <mergeCell ref="C9:E9"/>
    <mergeCell ref="F9:N9"/>
    <mergeCell ref="C11:L11"/>
    <mergeCell ref="M11:N11"/>
    <mergeCell ref="C12:L12"/>
    <mergeCell ref="C13:L13"/>
    <mergeCell ref="M12:N12"/>
    <mergeCell ref="C14:L14"/>
    <mergeCell ref="M15:N15"/>
    <mergeCell ref="C23:N23"/>
    <mergeCell ref="C24:J24"/>
    <mergeCell ref="C25:J25"/>
    <mergeCell ref="C26:J26"/>
    <mergeCell ref="AA38:AB38"/>
    <mergeCell ref="AA39:AB39"/>
    <mergeCell ref="P40:AB40"/>
    <mergeCell ref="P38:Z38"/>
    <mergeCell ref="K26:L26"/>
    <mergeCell ref="M26:N26"/>
    <mergeCell ref="M29:N29"/>
    <mergeCell ref="C51:J51"/>
    <mergeCell ref="C47:N47"/>
    <mergeCell ref="C32:N32"/>
    <mergeCell ref="C33:L33"/>
    <mergeCell ref="C34:L34"/>
    <mergeCell ref="C35:L35"/>
    <mergeCell ref="C36:L36"/>
    <mergeCell ref="C37:L37"/>
    <mergeCell ref="M33:N33"/>
    <mergeCell ref="M34:N34"/>
    <mergeCell ref="M35:N35"/>
    <mergeCell ref="M36:N36"/>
    <mergeCell ref="M37:N37"/>
    <mergeCell ref="AF40:AI40"/>
    <mergeCell ref="AJ40:AL40"/>
    <mergeCell ref="AF46:AI46"/>
    <mergeCell ref="AJ46:AL46"/>
    <mergeCell ref="C40:J40"/>
    <mergeCell ref="C41:J41"/>
    <mergeCell ref="C42:J42"/>
    <mergeCell ref="C43:J43"/>
    <mergeCell ref="C39:N39"/>
    <mergeCell ref="C48:J48"/>
    <mergeCell ref="M27:N27"/>
    <mergeCell ref="K28:L28"/>
    <mergeCell ref="M28:N28"/>
    <mergeCell ref="M30:N30"/>
    <mergeCell ref="P43:X43"/>
    <mergeCell ref="C44:J44"/>
    <mergeCell ref="C54:J54"/>
    <mergeCell ref="K54:L54"/>
    <mergeCell ref="K44:L44"/>
    <mergeCell ref="M44:N44"/>
    <mergeCell ref="M54:N54"/>
    <mergeCell ref="M50:N50"/>
    <mergeCell ref="M51:N51"/>
    <mergeCell ref="M52:N52"/>
    <mergeCell ref="M53:N53"/>
    <mergeCell ref="K48:L48"/>
    <mergeCell ref="K49:L49"/>
    <mergeCell ref="K50:L50"/>
    <mergeCell ref="K51:L51"/>
    <mergeCell ref="K52:L52"/>
    <mergeCell ref="K53:L53"/>
    <mergeCell ref="C49:J49"/>
    <mergeCell ref="C30:L30"/>
    <mergeCell ref="AA52:AB52"/>
    <mergeCell ref="AA53:AB53"/>
    <mergeCell ref="P48:X48"/>
    <mergeCell ref="P49:X49"/>
    <mergeCell ref="P50:X50"/>
    <mergeCell ref="P51:X51"/>
    <mergeCell ref="P52:X52"/>
    <mergeCell ref="Y43:Z43"/>
    <mergeCell ref="Y44:Z44"/>
    <mergeCell ref="P44:X44"/>
    <mergeCell ref="P46:X46"/>
    <mergeCell ref="P47:X47"/>
    <mergeCell ref="P45:AB45"/>
    <mergeCell ref="AA43:AB43"/>
    <mergeCell ref="AA44:AB44"/>
    <mergeCell ref="AA46:AB46"/>
    <mergeCell ref="AA47:AB47"/>
    <mergeCell ref="AA48:AB48"/>
    <mergeCell ref="AA49:AB49"/>
    <mergeCell ref="AA50:AB50"/>
    <mergeCell ref="AA51:AB51"/>
    <mergeCell ref="C57:N57"/>
    <mergeCell ref="C58:N58"/>
    <mergeCell ref="C59:N59"/>
    <mergeCell ref="P54:X54"/>
    <mergeCell ref="AA14:AB14"/>
    <mergeCell ref="AA15:AB15"/>
    <mergeCell ref="AA16:AB16"/>
    <mergeCell ref="X16:Z16"/>
    <mergeCell ref="X15:Z15"/>
    <mergeCell ref="X14:Z14"/>
    <mergeCell ref="P14:W14"/>
    <mergeCell ref="P15:W15"/>
    <mergeCell ref="P16:W16"/>
    <mergeCell ref="AA54:AB54"/>
    <mergeCell ref="Y46:Z46"/>
    <mergeCell ref="Y47:Z47"/>
    <mergeCell ref="Y48:Z48"/>
    <mergeCell ref="Y49:Z49"/>
    <mergeCell ref="Y50:Z50"/>
    <mergeCell ref="Y51:Z51"/>
    <mergeCell ref="Y52:Z52"/>
    <mergeCell ref="Y53:Z53"/>
    <mergeCell ref="Y54:Z54"/>
    <mergeCell ref="P53:X53"/>
  </mergeCells>
  <conditionalFormatting sqref="M13:N13">
    <cfRule type="expression" dxfId="18" priority="59">
      <formula>$M$11=$AF$11</formula>
    </cfRule>
  </conditionalFormatting>
  <conditionalFormatting sqref="M16:N16">
    <cfRule type="expression" dxfId="17" priority="46">
      <formula>OR($AF$8=1,$AF$8=5,$AF$8=6)</formula>
    </cfRule>
  </conditionalFormatting>
  <conditionalFormatting sqref="M17:N17">
    <cfRule type="expression" dxfId="16" priority="47">
      <formula>$AF$8=1</formula>
    </cfRule>
  </conditionalFormatting>
  <conditionalFormatting sqref="M37">
    <cfRule type="expression" dxfId="15" priority="23">
      <formula>$AF$34=0</formula>
    </cfRule>
  </conditionalFormatting>
  <conditionalFormatting sqref="M36">
    <cfRule type="expression" dxfId="14" priority="64">
      <formula>$M$33="Yes"</formula>
    </cfRule>
  </conditionalFormatting>
  <conditionalFormatting sqref="AK26:AL26">
    <cfRule type="duplicateValues" dxfId="13" priority="20"/>
  </conditionalFormatting>
  <conditionalFormatting sqref="Y46:Y54">
    <cfRule type="expression" dxfId="12" priority="12">
      <formula>$AF$44=0</formula>
    </cfRule>
  </conditionalFormatting>
  <conditionalFormatting sqref="Y49:Z50">
    <cfRule type="cellIs" dxfId="11" priority="9" operator="notBetween">
      <formula>0.01</formula>
      <formula>1000</formula>
    </cfRule>
  </conditionalFormatting>
  <conditionalFormatting sqref="P40:AB40">
    <cfRule type="expression" dxfId="10" priority="8">
      <formula>$AK$50=1</formula>
    </cfRule>
  </conditionalFormatting>
  <conditionalFormatting sqref="P37:AB54">
    <cfRule type="expression" dxfId="9" priority="1">
      <formula>$AF$44=0</formula>
    </cfRule>
  </conditionalFormatting>
  <conditionalFormatting sqref="AA46:AB53">
    <cfRule type="expression" dxfId="8" priority="6">
      <formula>INDEX($AQ$53:$AT$61,$AF52,$AK$50)=" "</formula>
    </cfRule>
  </conditionalFormatting>
  <conditionalFormatting sqref="P46:AB54">
    <cfRule type="expression" dxfId="7" priority="7">
      <formula>AND(INDEX($AG$53:$AJ$63,$AF53,$AK$50)&lt;&gt;" ",INDEX($AG$53:$AJ$63,$AF53+1,$AK$50)=" ")</formula>
    </cfRule>
    <cfRule type="expression" dxfId="6" priority="5">
      <formula>INDEX($AG$53:$AJ$63,$AF53,$AK$50)=" "</formula>
    </cfRule>
  </conditionalFormatting>
  <conditionalFormatting sqref="C55">
    <cfRule type="expression" dxfId="5" priority="176">
      <formula>AND($AH$25=1,MID(#REF!,1,4)="FAIL")</formula>
    </cfRule>
  </conditionalFormatting>
  <conditionalFormatting sqref="Y46:Y54">
    <cfRule type="expression" dxfId="4" priority="177">
      <formula>AND($AF$44=1,$AH$25=1,MID(Y46,1,4)="FAIL")</formula>
    </cfRule>
  </conditionalFormatting>
  <conditionalFormatting sqref="C22:N22">
    <cfRule type="notContainsBlanks" dxfId="3" priority="2">
      <formula>LEN(TRIM(C22))&gt;0</formula>
    </cfRule>
  </conditionalFormatting>
  <dataValidations count="9">
    <dataValidation type="list" allowBlank="1" showInputMessage="1" showErrorMessage="1" sqref="F9:N9" xr:uid="{00000000-0002-0000-0000-000000000000}">
      <formula1>$AF$9:$AK$9</formula1>
    </dataValidation>
    <dataValidation type="list" allowBlank="1" showInputMessage="1" showErrorMessage="1" sqref="M11:N11" xr:uid="{00000000-0002-0000-0000-000001000000}">
      <formula1>$AF$11:$AG$11</formula1>
    </dataValidation>
    <dataValidation type="list" allowBlank="1" showInputMessage="1" showErrorMessage="1" sqref="F10:N10" xr:uid="{00000000-0002-0000-0000-000002000000}">
      <formula1>$AF$10:$AG$10</formula1>
    </dataValidation>
    <dataValidation type="list" allowBlank="1" showInputMessage="1" showErrorMessage="1" sqref="Z10:AB10" xr:uid="{00000000-0002-0000-0000-000003000000}">
      <formula1>$AF$17:$AG$17</formula1>
    </dataValidation>
    <dataValidation type="list" allowBlank="1" showInputMessage="1" showErrorMessage="1" sqref="Z9:AB9" xr:uid="{00000000-0002-0000-0000-000004000000}">
      <formula1>$AF$16:$AG$16</formula1>
    </dataValidation>
    <dataValidation type="list" allowBlank="1" showInputMessage="1" showErrorMessage="1" sqref="M18" xr:uid="{00000000-0002-0000-0000-000005000000}">
      <formula1>$AF$15:$AI$15</formula1>
    </dataValidation>
    <dataValidation type="list" allowBlank="1" showInputMessage="1" showErrorMessage="1" sqref="M15:N15" xr:uid="{00000000-0002-0000-0000-000006000000}">
      <formula1>Lst_Comp_Strength</formula1>
    </dataValidation>
    <dataValidation type="list" allowBlank="1" showInputMessage="1" showErrorMessage="1" sqref="M33:N33" xr:uid="{00000000-0002-0000-0000-000007000000}">
      <formula1>$AF$30:$AG$30</formula1>
    </dataValidation>
    <dataValidation type="list" allowBlank="1" showInputMessage="1" showErrorMessage="1" sqref="P40:AB40" xr:uid="{00000000-0002-0000-0000-000008000000}">
      <formula1>$AF$36:$AF$37</formula1>
    </dataValidation>
  </dataValidations>
  <hyperlinks>
    <hyperlink ref="C61:O61" r:id="rId1" display="Spreadsheet provided by: www.YourSpreadsheets.co.uk" xr:uid="{00000000-0004-0000-0000-000000000000}"/>
  </hyperlinks>
  <pageMargins left="0.48" right="0.18" top="0.48" bottom="0.43307086614173229" header="0" footer="0"/>
  <pageSetup paperSize="9" scale="76" orientation="portrait" r:id="rId2"/>
  <headerFooter scaleWithDoc="0"/>
  <ignoredErrors>
    <ignoredError sqref="P45:AB46 P48:AB54 P47:Z47 AB47" evalError="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CM99"/>
  <sheetViews>
    <sheetView zoomScale="70" zoomScaleNormal="70" workbookViewId="0">
      <selection activeCell="H48" sqref="H48"/>
    </sheetView>
  </sheetViews>
  <sheetFormatPr defaultColWidth="9" defaultRowHeight="15"/>
  <cols>
    <col min="1" max="8" width="9" style="128"/>
    <col min="9" max="9" width="11.7109375" style="128" customWidth="1"/>
    <col min="10" max="10" width="9" style="128"/>
    <col min="11" max="11" width="13.140625" style="128" customWidth="1"/>
    <col min="12" max="20" width="9.140625" style="128" customWidth="1"/>
    <col min="21" max="21" width="11.28515625" style="128" customWidth="1"/>
    <col min="22" max="30" width="9.140625" style="128" customWidth="1"/>
    <col min="31" max="31" width="8.140625" style="128" bestFit="1" customWidth="1"/>
    <col min="32" max="32" width="9.28515625" style="128" bestFit="1" customWidth="1"/>
    <col min="33" max="33" width="7.85546875" style="128" bestFit="1" customWidth="1"/>
    <col min="34" max="34" width="8.140625" style="128" bestFit="1" customWidth="1"/>
    <col min="35" max="35" width="4.5703125" style="128" bestFit="1" customWidth="1"/>
    <col min="36" max="36" width="6" style="128" bestFit="1" customWidth="1"/>
    <col min="37" max="37" width="4.85546875" style="128" bestFit="1" customWidth="1"/>
    <col min="38" max="42" width="5.140625" style="128" bestFit="1" customWidth="1"/>
    <col min="43" max="43" width="9" style="128"/>
    <col min="44" max="44" width="4.7109375" style="128" bestFit="1" customWidth="1"/>
    <col min="45" max="45" width="4" style="128" bestFit="1" customWidth="1"/>
    <col min="46" max="46" width="5" style="128" bestFit="1" customWidth="1"/>
    <col min="47" max="47" width="6.42578125" style="128" bestFit="1" customWidth="1"/>
    <col min="48" max="48" width="5.28515625" style="128" customWidth="1"/>
    <col min="49" max="49" width="5" style="128" bestFit="1" customWidth="1"/>
    <col min="50" max="50" width="6" style="128" customWidth="1"/>
    <col min="51" max="51" width="4.7109375" style="128" bestFit="1" customWidth="1"/>
    <col min="52" max="52" width="5.5703125" style="128" customWidth="1"/>
    <col min="53" max="53" width="4" style="128" bestFit="1" customWidth="1"/>
    <col min="54" max="55" width="4.85546875" style="128" bestFit="1" customWidth="1"/>
    <col min="56" max="56" width="5.42578125" style="128" customWidth="1"/>
    <col min="57" max="60" width="5" style="128" bestFit="1" customWidth="1"/>
    <col min="61" max="61" width="9" style="128"/>
    <col min="62" max="62" width="4.7109375" style="128" bestFit="1" customWidth="1"/>
    <col min="63" max="64" width="4" style="128" bestFit="1" customWidth="1"/>
    <col min="65" max="66" width="4.85546875" style="128" bestFit="1" customWidth="1"/>
    <col min="67" max="67" width="6" style="128" bestFit="1" customWidth="1"/>
    <col min="68" max="71" width="5" style="128" bestFit="1" customWidth="1"/>
    <col min="72" max="72" width="9" style="128"/>
    <col min="73" max="73" width="4.7109375" style="128" bestFit="1" customWidth="1"/>
    <col min="74" max="74" width="4" style="128" bestFit="1" customWidth="1"/>
    <col min="75" max="75" width="5" style="128" bestFit="1" customWidth="1"/>
    <col min="76" max="76" width="6.42578125" style="128" bestFit="1" customWidth="1"/>
    <col min="77" max="77" width="4.85546875" style="128" bestFit="1" customWidth="1"/>
    <col min="78" max="78" width="5" style="128" bestFit="1" customWidth="1"/>
    <col min="79" max="79" width="9" style="128"/>
    <col min="80" max="80" width="4.7109375" style="128" bestFit="1" customWidth="1"/>
    <col min="81" max="82" width="4" style="128" bestFit="1" customWidth="1"/>
    <col min="83" max="84" width="4.85546875" style="128" bestFit="1" customWidth="1"/>
    <col min="85" max="85" width="6" style="128" bestFit="1" customWidth="1"/>
    <col min="86" max="89" width="5" style="128" bestFit="1" customWidth="1"/>
    <col min="90" max="90" width="9" style="128"/>
    <col min="91" max="91" width="4.7109375" style="128" bestFit="1" customWidth="1"/>
    <col min="92" max="93" width="4" style="128" bestFit="1" customWidth="1"/>
    <col min="94" max="94" width="4.85546875" style="128" bestFit="1" customWidth="1"/>
    <col min="95" max="95" width="6.42578125" style="128" bestFit="1" customWidth="1"/>
    <col min="96" max="96" width="6" style="128" bestFit="1" customWidth="1"/>
    <col min="97" max="100" width="5" style="128" bestFit="1" customWidth="1"/>
    <col min="101" max="101" width="9" style="128"/>
    <col min="102" max="102" width="4.7109375" style="128" bestFit="1" customWidth="1"/>
    <col min="103" max="104" width="4" style="128" bestFit="1" customWidth="1"/>
    <col min="105" max="106" width="4.85546875" style="128" bestFit="1" customWidth="1"/>
    <col min="107" max="107" width="6" style="128" bestFit="1" customWidth="1"/>
    <col min="108" max="111" width="5" style="128" bestFit="1" customWidth="1"/>
    <col min="112" max="16384" width="9" style="128"/>
  </cols>
  <sheetData>
    <row r="2" spans="1:43">
      <c r="O2" s="129"/>
      <c r="P2" s="129"/>
      <c r="Q2" s="129"/>
      <c r="R2" s="129"/>
    </row>
    <row r="3" spans="1:43">
      <c r="B3" s="327"/>
      <c r="C3" s="327"/>
      <c r="D3" s="327"/>
      <c r="E3" s="327"/>
      <c r="F3" s="327"/>
      <c r="G3" s="327"/>
      <c r="H3" s="327"/>
      <c r="O3" s="129"/>
      <c r="P3" s="129"/>
      <c r="Q3" s="129"/>
      <c r="R3" s="129"/>
      <c r="AQ3" s="130"/>
    </row>
    <row r="4" spans="1:43">
      <c r="B4" s="327"/>
      <c r="C4" s="327"/>
      <c r="D4" s="327"/>
      <c r="E4" s="327"/>
      <c r="F4" s="327"/>
      <c r="G4" s="327"/>
      <c r="H4" s="327"/>
      <c r="O4" s="129"/>
      <c r="P4" s="129"/>
      <c r="Q4" s="129"/>
      <c r="R4" s="129"/>
      <c r="AQ4" s="130"/>
    </row>
    <row r="5" spans="1:43">
      <c r="O5" s="129"/>
      <c r="P5" s="129"/>
      <c r="Q5" s="129"/>
      <c r="R5" s="129"/>
      <c r="AQ5" s="130"/>
    </row>
    <row r="6" spans="1:43">
      <c r="O6" s="129"/>
      <c r="P6" s="129"/>
      <c r="Q6" s="129"/>
      <c r="R6" s="129"/>
      <c r="AQ6" s="130"/>
    </row>
    <row r="7" spans="1:43">
      <c r="I7" s="131">
        <f>VLOOKUP('masonry bearing'!AF8,$B$22:$F$27,4,TRUE)</f>
        <v>2.2000000000000002</v>
      </c>
      <c r="O7" s="132"/>
      <c r="P7" s="132"/>
      <c r="Q7" s="132"/>
      <c r="R7" s="132"/>
      <c r="AQ7" s="130"/>
    </row>
    <row r="8" spans="1:43">
      <c r="A8" s="133"/>
      <c r="I8" s="131">
        <f>VLOOKUP('masonry bearing'!AF8,B22:F27,5,FALSE)</f>
        <v>4.4000000000000004</v>
      </c>
      <c r="O8" s="132"/>
      <c r="P8" s="132"/>
      <c r="Q8" s="132"/>
      <c r="R8" s="132"/>
      <c r="AQ8" s="130"/>
    </row>
    <row r="9" spans="1:43">
      <c r="A9" s="133"/>
      <c r="I9" s="128">
        <f>'masonry bearing'!M17</f>
        <v>215</v>
      </c>
      <c r="O9" s="129"/>
      <c r="P9" s="129"/>
      <c r="Q9" s="129"/>
      <c r="R9" s="129"/>
      <c r="AQ9" s="130"/>
    </row>
    <row r="10" spans="1:43">
      <c r="A10" s="133"/>
      <c r="I10" s="128">
        <f>IF(B10="Thickness of load bearing leaf;",215,'masonry bearing'!M16)</f>
        <v>100</v>
      </c>
      <c r="O10" s="132"/>
      <c r="P10" s="132"/>
      <c r="Q10" s="132"/>
      <c r="R10" s="132"/>
      <c r="AQ10" s="130"/>
    </row>
    <row r="11" spans="1:43">
      <c r="A11" s="133"/>
      <c r="I11" s="128">
        <f>I9/I10</f>
        <v>2.15</v>
      </c>
      <c r="AQ11" s="130"/>
    </row>
    <row r="12" spans="1:43">
      <c r="A12" s="134"/>
      <c r="I12" s="135"/>
    </row>
    <row r="13" spans="1:43">
      <c r="A13" s="133"/>
      <c r="I13" s="131">
        <f>VLOOKUP('masonry bearing'!AF8,B22:G27,6,FALSE)</f>
        <v>4.4000000000000004</v>
      </c>
    </row>
    <row r="14" spans="1:43">
      <c r="O14" s="129"/>
      <c r="P14" s="129"/>
      <c r="Q14" s="129"/>
      <c r="R14" s="129"/>
    </row>
    <row r="15" spans="1:43">
      <c r="O15" s="129"/>
      <c r="P15" s="129"/>
      <c r="Q15" s="129"/>
      <c r="R15" s="129"/>
    </row>
    <row r="22" spans="2:91">
      <c r="B22" s="136">
        <v>1</v>
      </c>
      <c r="C22" s="136" t="s">
        <v>41</v>
      </c>
      <c r="D22" s="136"/>
      <c r="E22" s="137">
        <f>P30</f>
        <v>2.2240000000000002</v>
      </c>
      <c r="F22" s="136"/>
      <c r="G22" s="138"/>
      <c r="K22" s="139" t="s">
        <v>34</v>
      </c>
      <c r="L22" s="139">
        <v>5</v>
      </c>
      <c r="M22" s="139">
        <v>10</v>
      </c>
      <c r="N22" s="139">
        <v>15</v>
      </c>
      <c r="O22" s="139">
        <v>20</v>
      </c>
      <c r="P22" s="139">
        <v>30</v>
      </c>
      <c r="Q22" s="139">
        <v>40</v>
      </c>
      <c r="R22" s="139">
        <v>50</v>
      </c>
      <c r="S22" s="139">
        <v>75</v>
      </c>
      <c r="T22" s="139">
        <v>100</v>
      </c>
      <c r="U22" s="139">
        <v>125</v>
      </c>
      <c r="V22" s="139">
        <v>150</v>
      </c>
      <c r="X22" s="139" t="s">
        <v>34</v>
      </c>
      <c r="Y22" s="140">
        <v>2.9</v>
      </c>
      <c r="Z22" s="140">
        <v>3.6</v>
      </c>
      <c r="AA22" s="140">
        <v>5.2</v>
      </c>
      <c r="AB22" s="140">
        <v>7.3</v>
      </c>
      <c r="AC22" s="140">
        <v>10.4</v>
      </c>
      <c r="AE22" s="139" t="s">
        <v>34</v>
      </c>
      <c r="AF22" s="140">
        <v>2.9</v>
      </c>
      <c r="AG22" s="140">
        <v>3.6</v>
      </c>
      <c r="AH22" s="140">
        <v>5.2</v>
      </c>
      <c r="AI22" s="140">
        <v>7.3</v>
      </c>
      <c r="AJ22" s="140">
        <v>10.4</v>
      </c>
      <c r="AK22" s="140">
        <v>17.5</v>
      </c>
      <c r="AL22" s="140">
        <v>22.5</v>
      </c>
      <c r="AM22" s="140">
        <v>30</v>
      </c>
      <c r="AN22" s="140">
        <v>40</v>
      </c>
      <c r="AP22" s="139" t="s">
        <v>34</v>
      </c>
      <c r="AQ22" s="140">
        <v>2.9</v>
      </c>
      <c r="AR22" s="140">
        <v>3.6</v>
      </c>
      <c r="AS22" s="140">
        <v>5.2</v>
      </c>
      <c r="AT22" s="140">
        <v>7.3</v>
      </c>
      <c r="AU22" s="140">
        <v>10.4</v>
      </c>
      <c r="AV22" s="140">
        <v>17.5</v>
      </c>
      <c r="AW22" s="140">
        <v>22.5</v>
      </c>
      <c r="AX22" s="140">
        <v>30</v>
      </c>
      <c r="AY22" s="140">
        <v>40</v>
      </c>
      <c r="BA22" s="139" t="s">
        <v>34</v>
      </c>
      <c r="BB22" s="140">
        <v>2.9</v>
      </c>
      <c r="BC22" s="140">
        <v>3.6</v>
      </c>
      <c r="BD22" s="140">
        <v>5.2</v>
      </c>
      <c r="BE22" s="140">
        <v>7.3</v>
      </c>
      <c r="BF22" s="140">
        <v>10.4</v>
      </c>
      <c r="BH22" s="139" t="s">
        <v>34</v>
      </c>
      <c r="BI22" s="140">
        <v>2.9</v>
      </c>
      <c r="BJ22" s="140">
        <v>3.6</v>
      </c>
      <c r="BK22" s="140">
        <v>5.2</v>
      </c>
      <c r="BL22" s="140">
        <v>7.3</v>
      </c>
      <c r="BM22" s="140">
        <v>10.4</v>
      </c>
      <c r="BN22" s="140">
        <v>17.5</v>
      </c>
      <c r="BO22" s="140">
        <v>22.5</v>
      </c>
      <c r="BP22" s="140">
        <v>30</v>
      </c>
      <c r="BQ22" s="140">
        <v>40</v>
      </c>
      <c r="BS22" s="139" t="s">
        <v>34</v>
      </c>
      <c r="BT22" s="140">
        <v>2.9</v>
      </c>
      <c r="BU22" s="140">
        <v>3.6</v>
      </c>
      <c r="BV22" s="140">
        <v>5.2</v>
      </c>
      <c r="BW22" s="140">
        <v>7.3</v>
      </c>
      <c r="BX22" s="140">
        <v>10.4</v>
      </c>
      <c r="BY22" s="140">
        <v>17.5</v>
      </c>
      <c r="BZ22" s="140">
        <v>22.5</v>
      </c>
      <c r="CA22" s="140">
        <v>30</v>
      </c>
      <c r="CB22" s="140">
        <v>40</v>
      </c>
      <c r="CD22" s="139" t="s">
        <v>34</v>
      </c>
      <c r="CE22" s="140">
        <v>2.9</v>
      </c>
      <c r="CF22" s="140">
        <v>3.6</v>
      </c>
      <c r="CG22" s="140">
        <v>5.2</v>
      </c>
      <c r="CH22" s="140">
        <v>7.3</v>
      </c>
      <c r="CI22" s="140">
        <v>10.4</v>
      </c>
      <c r="CJ22" s="140">
        <v>17.5</v>
      </c>
      <c r="CK22" s="140">
        <v>22.5</v>
      </c>
      <c r="CL22" s="140">
        <v>30</v>
      </c>
      <c r="CM22" s="140">
        <v>40</v>
      </c>
    </row>
    <row r="23" spans="2:91">
      <c r="B23" s="136">
        <v>2</v>
      </c>
      <c r="C23" s="136" t="s">
        <v>42</v>
      </c>
      <c r="D23" s="136" t="s">
        <v>43</v>
      </c>
      <c r="E23" s="137">
        <f>AB30</f>
        <v>2.5</v>
      </c>
      <c r="F23" s="137">
        <f>BE30</f>
        <v>4.4000000000000004</v>
      </c>
      <c r="G23" s="141">
        <f>IF(I$11&lt;2,E23+(F23-E23)*(I$11-0.6)/(2-0.6),F23)</f>
        <v>4.4000000000000004</v>
      </c>
      <c r="I23" s="139" t="s">
        <v>102</v>
      </c>
      <c r="J23" s="128" t="s">
        <v>37</v>
      </c>
      <c r="K23" s="139" t="s">
        <v>102</v>
      </c>
      <c r="L23" s="140">
        <v>2.5</v>
      </c>
      <c r="M23" s="140">
        <v>4</v>
      </c>
      <c r="N23" s="140">
        <v>5.3</v>
      </c>
      <c r="O23" s="140">
        <v>6.4</v>
      </c>
      <c r="P23" s="140">
        <v>8.3000000000000007</v>
      </c>
      <c r="Q23" s="140">
        <v>10</v>
      </c>
      <c r="R23" s="140">
        <v>11.6</v>
      </c>
      <c r="S23" s="140">
        <v>15.2</v>
      </c>
      <c r="T23" s="140">
        <v>18.3</v>
      </c>
      <c r="U23" s="140">
        <v>21.2</v>
      </c>
      <c r="V23" s="140">
        <v>23.9</v>
      </c>
      <c r="X23" s="139" t="s">
        <v>102</v>
      </c>
      <c r="Y23" s="140">
        <v>1.4</v>
      </c>
      <c r="Z23" s="140">
        <v>1.7</v>
      </c>
      <c r="AA23" s="140">
        <v>2.5</v>
      </c>
      <c r="AB23" s="140">
        <v>3.4</v>
      </c>
      <c r="AC23" s="140">
        <v>4.4000000000000004</v>
      </c>
      <c r="AE23" s="139" t="s">
        <v>102</v>
      </c>
      <c r="AF23" s="140">
        <v>1.4</v>
      </c>
      <c r="AG23" s="140">
        <v>1.7</v>
      </c>
      <c r="AH23" s="140">
        <v>2.5</v>
      </c>
      <c r="AI23" s="140">
        <v>3.4</v>
      </c>
      <c r="AJ23" s="140">
        <v>4.4000000000000004</v>
      </c>
      <c r="AK23" s="140">
        <v>6.3</v>
      </c>
      <c r="AL23" s="140">
        <v>7.5</v>
      </c>
      <c r="AM23" s="140">
        <v>9.5</v>
      </c>
      <c r="AN23" s="140">
        <v>11.2</v>
      </c>
      <c r="AP23" s="139" t="s">
        <v>102</v>
      </c>
      <c r="AQ23" s="140">
        <v>2.8</v>
      </c>
      <c r="AR23" s="140">
        <v>3.5</v>
      </c>
      <c r="AS23" s="140">
        <v>5</v>
      </c>
      <c r="AT23" s="140">
        <v>6.8</v>
      </c>
      <c r="AU23" s="140">
        <v>8.8000000000000007</v>
      </c>
      <c r="AV23" s="140">
        <v>12.5</v>
      </c>
      <c r="AW23" s="140">
        <v>15</v>
      </c>
      <c r="AX23" s="140">
        <v>18.7</v>
      </c>
      <c r="AY23" s="140">
        <v>22.1</v>
      </c>
      <c r="BA23" s="139" t="s">
        <v>102</v>
      </c>
      <c r="BB23" s="140">
        <v>2.8</v>
      </c>
      <c r="BC23" s="140">
        <v>3.5</v>
      </c>
      <c r="BD23" s="140">
        <v>5</v>
      </c>
      <c r="BE23" s="140">
        <v>6.8</v>
      </c>
      <c r="BF23" s="140">
        <v>8.8000000000000007</v>
      </c>
      <c r="BH23" s="139" t="s">
        <v>102</v>
      </c>
      <c r="BI23" s="140">
        <v>2.8</v>
      </c>
      <c r="BJ23" s="140">
        <v>3.5</v>
      </c>
      <c r="BK23" s="140">
        <v>5</v>
      </c>
      <c r="BL23" s="140">
        <v>6.6</v>
      </c>
      <c r="BM23" s="140">
        <v>8.1</v>
      </c>
      <c r="BN23" s="140">
        <v>11.2</v>
      </c>
      <c r="BO23" s="140">
        <v>13.1</v>
      </c>
      <c r="BP23" s="140">
        <v>16</v>
      </c>
      <c r="BQ23" s="140">
        <v>19.399999999999999</v>
      </c>
      <c r="BS23" s="139" t="s">
        <v>102</v>
      </c>
      <c r="BT23" s="140">
        <v>2.8</v>
      </c>
      <c r="BU23" s="140">
        <v>3.4</v>
      </c>
      <c r="BV23" s="140">
        <v>4.4000000000000004</v>
      </c>
      <c r="BW23" s="140">
        <v>5.5</v>
      </c>
      <c r="BX23" s="140">
        <v>7</v>
      </c>
      <c r="BY23" s="140">
        <v>9.6999999999999993</v>
      </c>
      <c r="BZ23" s="140">
        <v>11.6</v>
      </c>
      <c r="CA23" s="140">
        <v>14.2</v>
      </c>
      <c r="CB23" s="140">
        <v>16.5</v>
      </c>
      <c r="CD23" s="139" t="s">
        <v>102</v>
      </c>
      <c r="CE23" s="140">
        <v>2.8</v>
      </c>
      <c r="CF23" s="140">
        <v>3.5</v>
      </c>
      <c r="CG23" s="140">
        <v>4.5</v>
      </c>
      <c r="CH23" s="140">
        <v>5.6</v>
      </c>
      <c r="CI23" s="140">
        <v>7.2</v>
      </c>
      <c r="CJ23" s="140">
        <v>9.6999999999999993</v>
      </c>
      <c r="CK23" s="140">
        <v>11.3</v>
      </c>
      <c r="CL23" s="140">
        <v>13.5</v>
      </c>
      <c r="CM23" s="140">
        <v>15.4</v>
      </c>
    </row>
    <row r="24" spans="2:91">
      <c r="B24" s="136">
        <v>3</v>
      </c>
      <c r="C24" s="136" t="s">
        <v>44</v>
      </c>
      <c r="D24" s="136" t="s">
        <v>45</v>
      </c>
      <c r="E24" s="137">
        <f>AJ30</f>
        <v>2.2000000000000002</v>
      </c>
      <c r="F24" s="137">
        <f>AU30</f>
        <v>4.4000000000000004</v>
      </c>
      <c r="G24" s="141">
        <f>IF(I$11&lt;2,E24+(F24-E24)*(I$11-0.6)/(2-0.6),F24)</f>
        <v>4.4000000000000004</v>
      </c>
      <c r="I24" s="139" t="s">
        <v>101</v>
      </c>
      <c r="J24" s="128" t="s">
        <v>38</v>
      </c>
      <c r="K24" s="139" t="s">
        <v>101</v>
      </c>
      <c r="L24" s="140">
        <v>2.5</v>
      </c>
      <c r="M24" s="140">
        <v>3.8</v>
      </c>
      <c r="N24" s="140">
        <v>4.8</v>
      </c>
      <c r="O24" s="140">
        <v>5.6</v>
      </c>
      <c r="P24" s="140">
        <v>7.1</v>
      </c>
      <c r="Q24" s="140">
        <v>8.4</v>
      </c>
      <c r="R24" s="140">
        <v>9.5</v>
      </c>
      <c r="S24" s="140">
        <v>12</v>
      </c>
      <c r="T24" s="140">
        <v>14.2</v>
      </c>
      <c r="U24" s="140">
        <v>16.100000000000001</v>
      </c>
      <c r="V24" s="140">
        <v>17.899999999999999</v>
      </c>
      <c r="X24" s="139" t="s">
        <v>101</v>
      </c>
      <c r="Y24" s="140">
        <v>1.4</v>
      </c>
      <c r="Z24" s="140">
        <v>1.7</v>
      </c>
      <c r="AA24" s="140">
        <v>2.5</v>
      </c>
      <c r="AB24" s="140">
        <v>3.2</v>
      </c>
      <c r="AC24" s="140">
        <v>4.2</v>
      </c>
      <c r="AE24" s="139" t="s">
        <v>101</v>
      </c>
      <c r="AF24" s="140">
        <v>1.4</v>
      </c>
      <c r="AG24" s="140">
        <v>1.7</v>
      </c>
      <c r="AH24" s="140">
        <v>2.5</v>
      </c>
      <c r="AI24" s="140">
        <v>3.2</v>
      </c>
      <c r="AJ24" s="140">
        <v>4.2</v>
      </c>
      <c r="AK24" s="140">
        <v>5.5</v>
      </c>
      <c r="AL24" s="140">
        <v>6.5</v>
      </c>
      <c r="AM24" s="140">
        <v>7.9</v>
      </c>
      <c r="AN24" s="140">
        <v>9.3000000000000007</v>
      </c>
      <c r="AP24" s="139" t="s">
        <v>101</v>
      </c>
      <c r="AQ24" s="140">
        <v>2.8</v>
      </c>
      <c r="AR24" s="140">
        <v>3.5</v>
      </c>
      <c r="AS24" s="140">
        <v>5</v>
      </c>
      <c r="AT24" s="140">
        <v>6.4</v>
      </c>
      <c r="AU24" s="140">
        <v>8.4</v>
      </c>
      <c r="AV24" s="140">
        <v>11.1</v>
      </c>
      <c r="AW24" s="140">
        <v>13</v>
      </c>
      <c r="AX24" s="140">
        <v>15.9</v>
      </c>
      <c r="AY24" s="140">
        <v>18.7</v>
      </c>
      <c r="BA24" s="139" t="s">
        <v>101</v>
      </c>
      <c r="BB24" s="140">
        <v>2.8</v>
      </c>
      <c r="BC24" s="140">
        <v>3.5</v>
      </c>
      <c r="BD24" s="140">
        <v>5</v>
      </c>
      <c r="BE24" s="140">
        <v>6.4</v>
      </c>
      <c r="BF24" s="140">
        <v>8.4</v>
      </c>
      <c r="BH24" s="139" t="s">
        <v>101</v>
      </c>
      <c r="BI24" s="140">
        <v>2.8</v>
      </c>
      <c r="BJ24" s="140">
        <v>3.5</v>
      </c>
      <c r="BK24" s="140">
        <v>5</v>
      </c>
      <c r="BL24" s="140">
        <v>6.4</v>
      </c>
      <c r="BM24" s="140">
        <v>7.5</v>
      </c>
      <c r="BN24" s="140">
        <v>9.9</v>
      </c>
      <c r="BO24" s="140">
        <v>11.6</v>
      </c>
      <c r="BP24" s="140">
        <v>14</v>
      </c>
      <c r="BQ24" s="140">
        <v>16.7</v>
      </c>
      <c r="BS24" s="139" t="s">
        <v>101</v>
      </c>
      <c r="BT24" s="140">
        <v>2.5</v>
      </c>
      <c r="BU24" s="140">
        <v>2.8</v>
      </c>
      <c r="BV24" s="140">
        <v>3.5</v>
      </c>
      <c r="BW24" s="140">
        <v>4.5</v>
      </c>
      <c r="BX24" s="140">
        <v>5.7</v>
      </c>
      <c r="BY24" s="140">
        <v>7.9</v>
      </c>
      <c r="BZ24" s="140">
        <v>9.4</v>
      </c>
      <c r="CA24" s="140">
        <v>11.6</v>
      </c>
      <c r="CB24" s="140">
        <v>13.5</v>
      </c>
      <c r="CD24" s="139" t="s">
        <v>101</v>
      </c>
      <c r="CE24" s="140">
        <v>2.5</v>
      </c>
      <c r="CF24" s="140">
        <v>2.9</v>
      </c>
      <c r="CG24" s="140">
        <v>3.7</v>
      </c>
      <c r="CH24" s="140">
        <v>4.5999999999999996</v>
      </c>
      <c r="CI24" s="140">
        <v>5.9</v>
      </c>
      <c r="CJ24" s="140">
        <v>7.9</v>
      </c>
      <c r="CK24" s="140">
        <v>9.1</v>
      </c>
      <c r="CL24" s="140">
        <v>10.8</v>
      </c>
      <c r="CM24" s="140">
        <v>12.3</v>
      </c>
    </row>
    <row r="25" spans="2:91">
      <c r="B25" s="136">
        <v>4</v>
      </c>
      <c r="C25" s="136" t="s">
        <v>44</v>
      </c>
      <c r="D25" s="136" t="s">
        <v>46</v>
      </c>
      <c r="E25" s="137">
        <f>AJ30</f>
        <v>2.2000000000000002</v>
      </c>
      <c r="F25" s="137">
        <f>BM30</f>
        <v>4.4000000000000004</v>
      </c>
      <c r="G25" s="141">
        <f>IF(I$11&lt;2,E25+(F25-E25)*(I$11-0.6)/(2-0.6),F25)</f>
        <v>4.4000000000000004</v>
      </c>
      <c r="I25" s="139" t="s">
        <v>100</v>
      </c>
      <c r="J25" s="128" t="s">
        <v>39</v>
      </c>
      <c r="K25" s="139" t="s">
        <v>100</v>
      </c>
      <c r="L25" s="140">
        <v>2.5</v>
      </c>
      <c r="M25" s="140">
        <v>3.4</v>
      </c>
      <c r="N25" s="140">
        <v>4.3</v>
      </c>
      <c r="O25" s="140">
        <v>5</v>
      </c>
      <c r="P25" s="140">
        <v>6.3</v>
      </c>
      <c r="Q25" s="140">
        <v>7.4</v>
      </c>
      <c r="R25" s="140">
        <v>8.4</v>
      </c>
      <c r="S25" s="140">
        <v>10.5</v>
      </c>
      <c r="T25" s="140">
        <v>12.3</v>
      </c>
      <c r="U25" s="140">
        <v>14</v>
      </c>
      <c r="V25" s="140">
        <v>15.4</v>
      </c>
      <c r="X25" s="139" t="s">
        <v>100</v>
      </c>
      <c r="Y25" s="140">
        <v>1.4</v>
      </c>
      <c r="Z25" s="140">
        <v>1.7</v>
      </c>
      <c r="AA25" s="140">
        <v>2.5</v>
      </c>
      <c r="AB25" s="140">
        <v>3.2</v>
      </c>
      <c r="AC25" s="140">
        <v>4.0999999999999996</v>
      </c>
      <c r="AE25" s="139" t="s">
        <v>100</v>
      </c>
      <c r="AF25" s="140">
        <v>1.4</v>
      </c>
      <c r="AG25" s="140">
        <v>1.7</v>
      </c>
      <c r="AH25" s="140">
        <v>2.5</v>
      </c>
      <c r="AI25" s="140">
        <v>3.2</v>
      </c>
      <c r="AJ25" s="140">
        <v>4.0999999999999996</v>
      </c>
      <c r="AK25" s="140">
        <v>5.0999999999999996</v>
      </c>
      <c r="AL25" s="140">
        <v>6</v>
      </c>
      <c r="AM25" s="140">
        <v>7.2</v>
      </c>
      <c r="AN25" s="140">
        <v>8.1999999999999993</v>
      </c>
      <c r="AP25" s="139" t="s">
        <v>100</v>
      </c>
      <c r="AQ25" s="140">
        <v>2.8</v>
      </c>
      <c r="AR25" s="140">
        <v>3.5</v>
      </c>
      <c r="AS25" s="140">
        <v>5</v>
      </c>
      <c r="AT25" s="140">
        <v>6.4</v>
      </c>
      <c r="AU25" s="140">
        <v>8.1999999999999993</v>
      </c>
      <c r="AV25" s="140">
        <v>10.1</v>
      </c>
      <c r="AW25" s="140">
        <v>12</v>
      </c>
      <c r="AX25" s="140">
        <v>14.5</v>
      </c>
      <c r="AY25" s="140">
        <v>16.8</v>
      </c>
      <c r="BA25" s="139" t="s">
        <v>100</v>
      </c>
      <c r="BB25" s="140">
        <v>2.8</v>
      </c>
      <c r="BC25" s="140">
        <v>3.5</v>
      </c>
      <c r="BD25" s="140">
        <v>5</v>
      </c>
      <c r="BE25" s="140">
        <v>6.4</v>
      </c>
      <c r="BF25" s="140">
        <v>8.1999999999999993</v>
      </c>
      <c r="BH25" s="139" t="s">
        <v>100</v>
      </c>
      <c r="BI25" s="140">
        <v>2.8</v>
      </c>
      <c r="BJ25" s="140">
        <v>3.5</v>
      </c>
      <c r="BK25" s="140">
        <v>5</v>
      </c>
      <c r="BL25" s="140">
        <v>6.1</v>
      </c>
      <c r="BM25" s="140">
        <v>7.1</v>
      </c>
      <c r="BN25" s="140">
        <v>9</v>
      </c>
      <c r="BO25" s="140">
        <v>10.199999999999999</v>
      </c>
      <c r="BP25" s="140">
        <v>12</v>
      </c>
      <c r="BQ25" s="140">
        <v>14</v>
      </c>
      <c r="BS25" s="139" t="s">
        <v>100</v>
      </c>
      <c r="BT25" s="140">
        <v>2.2999999999999998</v>
      </c>
      <c r="BU25" s="140">
        <v>2.4</v>
      </c>
      <c r="BV25" s="140">
        <v>3.1</v>
      </c>
      <c r="BW25" s="140">
        <v>4</v>
      </c>
      <c r="BX25" s="140">
        <v>5.0999999999999996</v>
      </c>
      <c r="BY25" s="140">
        <v>7</v>
      </c>
      <c r="BZ25" s="140">
        <v>8.3000000000000007</v>
      </c>
      <c r="CA25" s="140">
        <v>10.3</v>
      </c>
      <c r="CB25" s="140">
        <v>12</v>
      </c>
      <c r="CD25" s="139" t="s">
        <v>100</v>
      </c>
      <c r="CE25" s="140">
        <v>2.2999999999999998</v>
      </c>
      <c r="CF25" s="140">
        <v>2.5</v>
      </c>
      <c r="CG25" s="140">
        <v>3.2</v>
      </c>
      <c r="CH25" s="140">
        <v>4.0999999999999996</v>
      </c>
      <c r="CI25" s="140">
        <v>5.2</v>
      </c>
      <c r="CJ25" s="140">
        <v>7</v>
      </c>
      <c r="CK25" s="140">
        <v>8.1</v>
      </c>
      <c r="CL25" s="140">
        <v>9.6</v>
      </c>
      <c r="CM25" s="140">
        <v>11.1</v>
      </c>
    </row>
    <row r="26" spans="2:91">
      <c r="B26" s="136">
        <v>5</v>
      </c>
      <c r="C26" s="136" t="s">
        <v>47</v>
      </c>
      <c r="D26" s="136"/>
      <c r="E26" s="137">
        <f>BX30</f>
        <v>2.5</v>
      </c>
      <c r="F26" s="136"/>
      <c r="G26" s="138"/>
      <c r="I26" s="139" t="s">
        <v>103</v>
      </c>
      <c r="J26" s="128" t="s">
        <v>40</v>
      </c>
      <c r="K26" s="139" t="s">
        <v>103</v>
      </c>
      <c r="L26" s="140">
        <v>2.2000000000000002</v>
      </c>
      <c r="M26" s="140">
        <v>2.8</v>
      </c>
      <c r="N26" s="140">
        <v>3.6</v>
      </c>
      <c r="O26" s="140">
        <v>4.0999999999999996</v>
      </c>
      <c r="P26" s="140">
        <v>5.0999999999999996</v>
      </c>
      <c r="Q26" s="140">
        <v>6.1</v>
      </c>
      <c r="R26" s="140">
        <v>7.1</v>
      </c>
      <c r="S26" s="140">
        <v>9</v>
      </c>
      <c r="T26" s="140">
        <v>10.5</v>
      </c>
      <c r="U26" s="140">
        <v>11.6</v>
      </c>
      <c r="V26" s="140">
        <v>12.7</v>
      </c>
      <c r="X26" s="139" t="s">
        <v>103</v>
      </c>
      <c r="Y26" s="140">
        <v>1.4</v>
      </c>
      <c r="Z26" s="140">
        <v>1.7</v>
      </c>
      <c r="AA26" s="140">
        <v>2.5</v>
      </c>
      <c r="AB26" s="140">
        <v>2.8</v>
      </c>
      <c r="AC26" s="140">
        <v>3.5</v>
      </c>
      <c r="AE26" s="139" t="s">
        <v>103</v>
      </c>
      <c r="AF26" s="140">
        <v>1.4</v>
      </c>
      <c r="AG26" s="140">
        <v>1.7</v>
      </c>
      <c r="AH26" s="140">
        <v>2.2000000000000002</v>
      </c>
      <c r="AI26" s="140">
        <v>2.8</v>
      </c>
      <c r="AJ26" s="140">
        <v>3.5</v>
      </c>
      <c r="AK26" s="140">
        <v>4.5999999999999996</v>
      </c>
      <c r="AL26" s="140">
        <v>5.3</v>
      </c>
      <c r="AM26" s="140">
        <v>6.2</v>
      </c>
      <c r="AN26" s="140">
        <v>7.1</v>
      </c>
      <c r="AP26" s="139" t="s">
        <v>103</v>
      </c>
      <c r="AQ26" s="140">
        <v>2.8</v>
      </c>
      <c r="AR26" s="140">
        <v>3.5</v>
      </c>
      <c r="AS26" s="140">
        <v>4.4000000000000004</v>
      </c>
      <c r="AT26" s="140">
        <v>5.6</v>
      </c>
      <c r="AU26" s="140">
        <v>7</v>
      </c>
      <c r="AV26" s="140">
        <v>9.1</v>
      </c>
      <c r="AW26" s="140">
        <v>10.5</v>
      </c>
      <c r="AX26" s="140">
        <v>12.5</v>
      </c>
      <c r="AY26" s="140">
        <v>14.5</v>
      </c>
      <c r="BA26" s="139" t="s">
        <v>103</v>
      </c>
      <c r="BB26" s="140">
        <v>2.8</v>
      </c>
      <c r="BC26" s="140">
        <v>3.5</v>
      </c>
      <c r="BD26" s="140">
        <v>4.4000000000000004</v>
      </c>
      <c r="BE26" s="140">
        <v>5.6</v>
      </c>
      <c r="BF26" s="140">
        <v>7</v>
      </c>
      <c r="BH26" s="139" t="s">
        <v>103</v>
      </c>
      <c r="BI26" s="140">
        <v>2.8</v>
      </c>
      <c r="BJ26" s="140">
        <v>3.5</v>
      </c>
      <c r="BK26" s="140">
        <v>4.4000000000000004</v>
      </c>
      <c r="BL26" s="140">
        <v>5.8</v>
      </c>
      <c r="BM26" s="140">
        <v>6.7</v>
      </c>
      <c r="BN26" s="140">
        <v>8</v>
      </c>
      <c r="BO26" s="140">
        <v>8.9</v>
      </c>
      <c r="BP26" s="140">
        <v>10.199999999999999</v>
      </c>
      <c r="BQ26" s="140">
        <v>11.5</v>
      </c>
      <c r="BS26" s="139" t="s">
        <v>103</v>
      </c>
      <c r="BT26" s="140">
        <v>2.2000000000000002</v>
      </c>
      <c r="BU26" s="140">
        <v>2.2999999999999998</v>
      </c>
      <c r="BV26" s="140">
        <v>2.5</v>
      </c>
      <c r="BW26" s="140">
        <v>3.2</v>
      </c>
      <c r="BX26" s="140">
        <v>4.0999999999999996</v>
      </c>
      <c r="BY26" s="140">
        <v>5.7</v>
      </c>
      <c r="BZ26" s="140">
        <v>6.8</v>
      </c>
      <c r="CA26" s="140">
        <v>8.1999999999999993</v>
      </c>
      <c r="CB26" s="140">
        <v>9.5</v>
      </c>
      <c r="CD26" s="139" t="s">
        <v>103</v>
      </c>
      <c r="CE26" s="140">
        <v>2.2000000000000002</v>
      </c>
      <c r="CF26" s="140">
        <v>2.1</v>
      </c>
      <c r="CG26" s="140">
        <v>2.6</v>
      </c>
      <c r="CH26" s="140">
        <v>3.3</v>
      </c>
      <c r="CI26" s="140">
        <v>4.3</v>
      </c>
      <c r="CJ26" s="140">
        <v>5.7</v>
      </c>
      <c r="CK26" s="140">
        <v>6.6</v>
      </c>
      <c r="CL26" s="140">
        <v>7.8</v>
      </c>
      <c r="CM26" s="140">
        <v>9</v>
      </c>
    </row>
    <row r="27" spans="2:91">
      <c r="B27" s="136">
        <v>6</v>
      </c>
      <c r="C27" s="136" t="s">
        <v>48</v>
      </c>
      <c r="D27" s="136"/>
      <c r="E27" s="137">
        <f>CI30</f>
        <v>2.6</v>
      </c>
      <c r="F27" s="136"/>
      <c r="G27" s="138"/>
      <c r="M27" s="128" t="s">
        <v>36</v>
      </c>
      <c r="N27" s="128">
        <f>'masonry bearing'!AF20</f>
        <v>5.2</v>
      </c>
      <c r="P27" s="128" t="s">
        <v>103</v>
      </c>
      <c r="Y27" s="128" t="s">
        <v>36</v>
      </c>
      <c r="Z27" s="128">
        <f>'masonry bearing'!AG20</f>
        <v>5.2</v>
      </c>
      <c r="AB27" s="128" t="s">
        <v>103</v>
      </c>
      <c r="AG27" s="128" t="s">
        <v>36</v>
      </c>
      <c r="AH27" s="128">
        <f>'masonry bearing'!AH20</f>
        <v>5.2</v>
      </c>
      <c r="AJ27" s="128" t="s">
        <v>103</v>
      </c>
      <c r="AR27" s="128" t="s">
        <v>36</v>
      </c>
      <c r="AS27" s="128">
        <f>'masonry bearing'!AH20</f>
        <v>5.2</v>
      </c>
      <c r="AU27" s="128" t="s">
        <v>103</v>
      </c>
      <c r="BB27" s="128" t="s">
        <v>36</v>
      </c>
      <c r="BC27" s="128">
        <f>'masonry bearing'!AG20</f>
        <v>5.2</v>
      </c>
      <c r="BE27" s="128" t="s">
        <v>103</v>
      </c>
      <c r="BJ27" s="128" t="s">
        <v>36</v>
      </c>
      <c r="BK27" s="128">
        <f>'masonry bearing'!AH20</f>
        <v>5.2</v>
      </c>
      <c r="BM27" s="128" t="s">
        <v>103</v>
      </c>
      <c r="BU27" s="128" t="s">
        <v>36</v>
      </c>
      <c r="BV27" s="128">
        <f>'masonry bearing'!AH20</f>
        <v>5.2</v>
      </c>
      <c r="BX27" s="128" t="s">
        <v>103</v>
      </c>
      <c r="CF27" s="128" t="s">
        <v>36</v>
      </c>
      <c r="CG27" s="128">
        <f>'masonry bearing'!AH20</f>
        <v>5.2</v>
      </c>
      <c r="CI27" s="128" t="s">
        <v>103</v>
      </c>
    </row>
    <row r="28" spans="2:91">
      <c r="M28" s="128" t="s">
        <v>35</v>
      </c>
      <c r="N28" s="128">
        <f>MATCH(N27,K22:V22,1)</f>
        <v>2</v>
      </c>
      <c r="O28" s="128">
        <f>N28+1</f>
        <v>3</v>
      </c>
      <c r="Y28" s="128" t="s">
        <v>35</v>
      </c>
      <c r="Z28" s="128">
        <f>MATCH(Z27,X22:AC22,1)</f>
        <v>4</v>
      </c>
      <c r="AA28" s="128">
        <f>Z28+1</f>
        <v>5</v>
      </c>
      <c r="AG28" s="128" t="s">
        <v>35</v>
      </c>
      <c r="AH28" s="142">
        <f>MATCH(AH27,AE22:AN22,1)</f>
        <v>4</v>
      </c>
      <c r="AI28" s="128">
        <f>AH28+1</f>
        <v>5</v>
      </c>
      <c r="AR28" s="128" t="s">
        <v>35</v>
      </c>
      <c r="AS28" s="142">
        <f>MATCH(AS27,AP22:AY22,1)</f>
        <v>4</v>
      </c>
      <c r="AT28" s="128">
        <f>AS28+1</f>
        <v>5</v>
      </c>
      <c r="BB28" s="128" t="s">
        <v>35</v>
      </c>
      <c r="BC28" s="128">
        <f>MATCH(BC27,BA22:BF22,1)</f>
        <v>4</v>
      </c>
      <c r="BD28" s="128">
        <f>BC28+1</f>
        <v>5</v>
      </c>
      <c r="BJ28" s="128" t="s">
        <v>35</v>
      </c>
      <c r="BK28" s="142">
        <f>MATCH(BK27,BH22:BQ22,1)</f>
        <v>4</v>
      </c>
      <c r="BL28" s="128">
        <f>BK28+1</f>
        <v>5</v>
      </c>
      <c r="BU28" s="128" t="s">
        <v>35</v>
      </c>
      <c r="BV28" s="142">
        <f>MATCH(BV27,BS22:CB22,1)</f>
        <v>4</v>
      </c>
      <c r="BW28" s="128">
        <f>BV28+1</f>
        <v>5</v>
      </c>
      <c r="CF28" s="128" t="s">
        <v>35</v>
      </c>
      <c r="CG28" s="142">
        <f>MATCH(CG27,CD22:CM22,1)</f>
        <v>4</v>
      </c>
      <c r="CH28" s="128">
        <f>CG28+1</f>
        <v>5</v>
      </c>
    </row>
    <row r="29" spans="2:91">
      <c r="B29" s="143">
        <v>2</v>
      </c>
      <c r="C29" s="128">
        <v>0.6</v>
      </c>
      <c r="D29" s="128">
        <v>4.5</v>
      </c>
      <c r="E29" s="128">
        <f>IF(OR(I$11&lt;C29,I$11&gt;D29),0,1)</f>
        <v>1</v>
      </c>
      <c r="G29" s="128" t="s">
        <v>175</v>
      </c>
      <c r="H29" s="128" t="str">
        <f>""</f>
        <v/>
      </c>
      <c r="N29" s="128">
        <f>VLOOKUP("CS",$K$22:$V$26,N28,FALSE)</f>
        <v>5</v>
      </c>
      <c r="O29" s="128">
        <f>VLOOKUP("CS",$K$22:$W$26,O28,FALSE)</f>
        <v>10</v>
      </c>
      <c r="Z29" s="144">
        <f>VLOOKUP("CS",X$22:AC$26,Z28,FALSE)</f>
        <v>5.2</v>
      </c>
      <c r="AA29" s="144">
        <f>VLOOKUP("CS",X$22:AD$26,AA28,FALSE)</f>
        <v>7.3</v>
      </c>
      <c r="AH29" s="144">
        <f>VLOOKUP("CS",$AE$22:$AN$26,AH28,FALSE)</f>
        <v>5.2</v>
      </c>
      <c r="AI29" s="144">
        <f>VLOOKUP("CS",$AE$22:$AO$26,AI28,FALSE)</f>
        <v>7.3</v>
      </c>
      <c r="AS29" s="144">
        <f>VLOOKUP("CS",AP$22:AY$26,AS28,FALSE)</f>
        <v>5.2</v>
      </c>
      <c r="AT29" s="144">
        <f>VLOOKUP("CS",AP$22:AZ$26,AT28,FALSE)</f>
        <v>7.3</v>
      </c>
      <c r="BC29" s="144">
        <f>VLOOKUP("CS",BA$22:BF$26,BC28,FALSE)</f>
        <v>5.2</v>
      </c>
      <c r="BD29" s="144">
        <f>VLOOKUP("CS",BA$22:BG$26,BD28,FALSE)</f>
        <v>7.3</v>
      </c>
      <c r="BK29" s="144">
        <f>VLOOKUP("CS",BH$22:BQ$26,BK28,FALSE)</f>
        <v>5.2</v>
      </c>
      <c r="BL29" s="144">
        <f>VLOOKUP("CS",BH$22:BR$26,BL28,FALSE)</f>
        <v>7.3</v>
      </c>
      <c r="BV29" s="144">
        <f>VLOOKUP("CS",BS$22:CB$26,BV28,FALSE)</f>
        <v>5.2</v>
      </c>
      <c r="BW29" s="144">
        <f>VLOOKUP("CS",BS$22:CC$26,BW28,FALSE)</f>
        <v>7.3</v>
      </c>
      <c r="CG29" s="144">
        <f>VLOOKUP("CS",CD$22:CM$26,CG28,FALSE)</f>
        <v>5.2</v>
      </c>
      <c r="CH29" s="144">
        <f>VLOOKUP("CS",CD$22:CN$26,CH28,FALSE)</f>
        <v>7.3</v>
      </c>
    </row>
    <row r="30" spans="2:91">
      <c r="B30" s="143">
        <v>3</v>
      </c>
      <c r="C30" s="128">
        <v>0.6</v>
      </c>
      <c r="D30" s="128">
        <v>4.5</v>
      </c>
      <c r="E30" s="128">
        <f>IF(OR(I$11&lt;C30,I$11&gt;D30),0,1)</f>
        <v>1</v>
      </c>
      <c r="G30" s="128" t="s">
        <v>175</v>
      </c>
      <c r="H30" s="128" t="str">
        <f>""</f>
        <v/>
      </c>
      <c r="N30" s="128">
        <f>VLOOKUP($P27,$K$22:$V$26,N28,FALSE)</f>
        <v>2.2000000000000002</v>
      </c>
      <c r="O30" s="128">
        <f>VLOOKUP($P27,$K$22:$W$26,O28,FALSE)</f>
        <v>2.8</v>
      </c>
      <c r="P30" s="155">
        <f>N30+(O30-N30)*(N27-N29)/(O29-N29)</f>
        <v>2.2240000000000002</v>
      </c>
      <c r="Z30" s="144">
        <f>VLOOKUP(AB$27,X$22:AC$26,Z28,FALSE)</f>
        <v>2.5</v>
      </c>
      <c r="AA30" s="144">
        <f>VLOOKUP(AB27,$X$22:$AD$26,AA28,FALSE)</f>
        <v>2.8</v>
      </c>
      <c r="AB30" s="155">
        <f>Z30+(AA30-Z30)*(Z27-Z29)/(AA29-Z29)</f>
        <v>2.5</v>
      </c>
      <c r="AH30" s="144">
        <f>VLOOKUP($AJ27,$AE$22:$AN$26,AH28,FALSE)</f>
        <v>2.2000000000000002</v>
      </c>
      <c r="AI30" s="144">
        <f>VLOOKUP($AJ27,$AE$22:$AO$26,AI28,FALSE)</f>
        <v>2.8</v>
      </c>
      <c r="AJ30" s="155">
        <f>AH30+(AI30-AH30)*(AH27-AH29)/(AI29-AH29)</f>
        <v>2.2000000000000002</v>
      </c>
      <c r="AS30" s="144">
        <f>VLOOKUP(AU$27,AP$22:AY$26,AS28,FALSE)</f>
        <v>4.4000000000000004</v>
      </c>
      <c r="AT30" s="144">
        <f>VLOOKUP(AU27,AP$22:AZ$26,AT28,FALSE)</f>
        <v>5.6</v>
      </c>
      <c r="AU30" s="155">
        <f>AS30+(AT30-AS30)*(AS27-AS29)/(AT29-AS29)</f>
        <v>4.4000000000000004</v>
      </c>
      <c r="BC30" s="144">
        <f>VLOOKUP(BE$27,BA$22:BF$26,BC28,FALSE)</f>
        <v>4.4000000000000004</v>
      </c>
      <c r="BD30" s="144">
        <f>VLOOKUP(BE27,$BA$22:$BG$26,BD28,FALSE)</f>
        <v>5.6</v>
      </c>
      <c r="BE30" s="155">
        <f>BC30+(BD30-BC30)*(BC27-BC29)/(BD29-BC29)</f>
        <v>4.4000000000000004</v>
      </c>
      <c r="BK30" s="144">
        <f>VLOOKUP(BM$27,BH$22:BQ$26,BK28,FALSE)</f>
        <v>4.4000000000000004</v>
      </c>
      <c r="BL30" s="144">
        <f>VLOOKUP(BM27,BH$22:BR$26,BL28,FALSE)</f>
        <v>5.8</v>
      </c>
      <c r="BM30" s="155">
        <f>BK30+(BL30-BK30)*(BK27-BK29)/(BL29-BK29)</f>
        <v>4.4000000000000004</v>
      </c>
      <c r="BV30" s="144">
        <f>VLOOKUP(BX$27,BS$22:CB$26,BV28,FALSE)</f>
        <v>2.5</v>
      </c>
      <c r="BW30" s="144">
        <f>VLOOKUP(BX27,BS$22:CC$26,BW28,FALSE)</f>
        <v>3.2</v>
      </c>
      <c r="BX30" s="155">
        <f>BV30+(BW30-BV30)*(BV27-BV29)/(BW29-BV29)</f>
        <v>2.5</v>
      </c>
      <c r="CG30" s="144">
        <f>VLOOKUP(CI$27,CD$22:CM$26,CG28,FALSE)</f>
        <v>2.6</v>
      </c>
      <c r="CH30" s="144">
        <f>VLOOKUP(CI27,CD$22:CN$26,CH28,FALSE)</f>
        <v>3.3</v>
      </c>
      <c r="CI30" s="155">
        <f>CG30+(CH30-CG30)*(CG27-CG29)/(CH29-CG29)</f>
        <v>2.6</v>
      </c>
    </row>
    <row r="31" spans="2:91">
      <c r="B31" s="143">
        <v>4</v>
      </c>
      <c r="C31" s="128">
        <v>0.6</v>
      </c>
      <c r="D31" s="128">
        <v>4.5</v>
      </c>
      <c r="E31" s="128">
        <f>IF(OR(I$11&lt;C31,I$11&gt;D31),0,1)</f>
        <v>1</v>
      </c>
      <c r="F31" s="128">
        <f>IF('masonry bearing'!AF8=5,E32,IF('masonry bearing'!AF8=6,E33,E29))</f>
        <v>1</v>
      </c>
      <c r="G31" s="128" t="s">
        <v>175</v>
      </c>
      <c r="H31" s="128" t="str">
        <f>""</f>
        <v/>
      </c>
    </row>
    <row r="32" spans="2:91">
      <c r="B32" s="143">
        <v>5</v>
      </c>
      <c r="C32" s="128">
        <v>1</v>
      </c>
      <c r="D32" s="128">
        <v>1.2</v>
      </c>
      <c r="E32" s="128">
        <f>IF(OR(I$11&lt;C32,I$11&gt;D32),0,1)</f>
        <v>0</v>
      </c>
      <c r="G32" s="128" t="s">
        <v>176</v>
      </c>
      <c r="H32" s="128" t="str">
        <f>""</f>
        <v/>
      </c>
    </row>
    <row r="33" spans="2:30">
      <c r="B33" s="143">
        <v>6</v>
      </c>
      <c r="C33" s="128">
        <v>0.4</v>
      </c>
      <c r="D33" s="128">
        <v>0.6</v>
      </c>
      <c r="E33" s="128">
        <f>IF(OR(I$11&lt;C33,I$11&gt;D33),0,1)</f>
        <v>0</v>
      </c>
      <c r="G33" s="128" t="s">
        <v>177</v>
      </c>
      <c r="H33" s="128" t="str">
        <f>""</f>
        <v/>
      </c>
    </row>
    <row r="37" spans="2:30">
      <c r="B37" s="145" t="s">
        <v>24</v>
      </c>
      <c r="C37" s="145"/>
      <c r="D37" s="145"/>
      <c r="E37" s="145"/>
      <c r="F37" s="145"/>
      <c r="G37" s="145"/>
      <c r="H37" s="145"/>
      <c r="I37" s="145"/>
      <c r="J37" s="145"/>
      <c r="K37" s="145"/>
      <c r="L37" s="145"/>
      <c r="M37" s="145"/>
      <c r="Q37" s="145"/>
      <c r="R37" s="145"/>
      <c r="S37" s="145"/>
      <c r="T37" s="145">
        <v>5</v>
      </c>
      <c r="U37" s="145">
        <v>10</v>
      </c>
      <c r="V37" s="145">
        <v>15</v>
      </c>
      <c r="W37" s="145">
        <v>20</v>
      </c>
      <c r="X37" s="145">
        <v>30</v>
      </c>
      <c r="Y37" s="145">
        <v>40</v>
      </c>
      <c r="Z37" s="145">
        <v>50</v>
      </c>
      <c r="AA37" s="145">
        <v>75</v>
      </c>
      <c r="AB37" s="145">
        <v>100</v>
      </c>
      <c r="AC37" s="145">
        <v>125</v>
      </c>
      <c r="AD37" s="145">
        <v>150</v>
      </c>
    </row>
    <row r="38" spans="2:30">
      <c r="B38" s="145"/>
      <c r="C38" s="145">
        <v>2.9</v>
      </c>
      <c r="D38" s="145">
        <v>3.6</v>
      </c>
      <c r="E38" s="145">
        <v>5.2</v>
      </c>
      <c r="F38" s="145">
        <v>7.3</v>
      </c>
      <c r="G38" s="145">
        <v>10.4</v>
      </c>
      <c r="H38" s="145"/>
      <c r="I38" s="145"/>
      <c r="J38" s="145"/>
      <c r="K38" s="145"/>
      <c r="L38" s="145"/>
      <c r="M38" s="145"/>
      <c r="Q38" s="145" t="s">
        <v>13</v>
      </c>
      <c r="R38" s="145" t="s">
        <v>18</v>
      </c>
      <c r="S38" s="145" t="s">
        <v>19</v>
      </c>
      <c r="T38" s="145">
        <v>2.5</v>
      </c>
      <c r="U38" s="145">
        <v>4</v>
      </c>
      <c r="V38" s="145">
        <v>5.3</v>
      </c>
      <c r="W38" s="145">
        <v>6.4</v>
      </c>
      <c r="X38" s="145">
        <v>8.3000000000000007</v>
      </c>
      <c r="Y38" s="145">
        <v>10</v>
      </c>
      <c r="Z38" s="145">
        <v>11.6</v>
      </c>
      <c r="AA38" s="145">
        <v>15.2</v>
      </c>
      <c r="AB38" s="145">
        <v>18.3</v>
      </c>
      <c r="AC38" s="145">
        <v>21.2</v>
      </c>
      <c r="AD38" s="145">
        <v>23.9</v>
      </c>
    </row>
    <row r="39" spans="2:30">
      <c r="B39" s="145" t="s">
        <v>13</v>
      </c>
      <c r="C39" s="145">
        <v>1.4</v>
      </c>
      <c r="D39" s="145">
        <v>1.7</v>
      </c>
      <c r="E39" s="145">
        <v>2.5</v>
      </c>
      <c r="F39" s="145">
        <v>3.4</v>
      </c>
      <c r="G39" s="145">
        <v>4.4000000000000004</v>
      </c>
      <c r="H39" s="145"/>
      <c r="I39" s="145"/>
      <c r="J39" s="145"/>
      <c r="K39" s="145"/>
      <c r="L39" s="145"/>
      <c r="M39" s="145"/>
      <c r="Q39" s="145" t="s">
        <v>12</v>
      </c>
      <c r="R39" s="145" t="s">
        <v>18</v>
      </c>
      <c r="S39" s="145" t="s">
        <v>20</v>
      </c>
      <c r="T39" s="145">
        <v>2.5</v>
      </c>
      <c r="U39" s="145">
        <v>3.8</v>
      </c>
      <c r="V39" s="145">
        <v>4.8</v>
      </c>
      <c r="W39" s="145">
        <v>5.6</v>
      </c>
      <c r="X39" s="145">
        <v>7.1</v>
      </c>
      <c r="Y39" s="145">
        <v>8.4</v>
      </c>
      <c r="Z39" s="145">
        <v>9.5</v>
      </c>
      <c r="AA39" s="145">
        <v>12</v>
      </c>
      <c r="AB39" s="145">
        <v>14.2</v>
      </c>
      <c r="AC39" s="145">
        <v>16.100000000000001</v>
      </c>
      <c r="AD39" s="145">
        <v>17.899999999999999</v>
      </c>
    </row>
    <row r="40" spans="2:30">
      <c r="B40" s="145" t="s">
        <v>12</v>
      </c>
      <c r="C40" s="145">
        <v>1.4</v>
      </c>
      <c r="D40" s="145">
        <v>1.7</v>
      </c>
      <c r="E40" s="145">
        <v>2.5</v>
      </c>
      <c r="F40" s="145">
        <v>3.2</v>
      </c>
      <c r="G40" s="145">
        <v>4.2</v>
      </c>
      <c r="H40" s="145"/>
      <c r="I40" s="145"/>
      <c r="J40" s="145"/>
      <c r="K40" s="145"/>
      <c r="L40" s="145"/>
      <c r="M40" s="145"/>
      <c r="Q40" s="145" t="s">
        <v>11</v>
      </c>
      <c r="R40" s="145" t="s">
        <v>18</v>
      </c>
      <c r="S40" s="145" t="s">
        <v>21</v>
      </c>
      <c r="T40" s="145">
        <v>2.5</v>
      </c>
      <c r="U40" s="145">
        <v>3.4</v>
      </c>
      <c r="V40" s="145">
        <v>4.3</v>
      </c>
      <c r="W40" s="145">
        <v>5</v>
      </c>
      <c r="X40" s="145">
        <v>6.3</v>
      </c>
      <c r="Y40" s="145">
        <v>7.4</v>
      </c>
      <c r="Z40" s="145">
        <v>8.4</v>
      </c>
      <c r="AA40" s="145">
        <v>10.5</v>
      </c>
      <c r="AB40" s="145">
        <v>12.3</v>
      </c>
      <c r="AC40" s="145">
        <v>14</v>
      </c>
      <c r="AD40" s="145">
        <v>15.4</v>
      </c>
    </row>
    <row r="41" spans="2:30">
      <c r="B41" s="145" t="s">
        <v>11</v>
      </c>
      <c r="C41" s="145">
        <v>1.4</v>
      </c>
      <c r="D41" s="145">
        <v>1.7</v>
      </c>
      <c r="E41" s="145">
        <v>2.5</v>
      </c>
      <c r="F41" s="145">
        <v>3.2</v>
      </c>
      <c r="G41" s="145">
        <v>4.0999999999999996</v>
      </c>
      <c r="H41" s="145"/>
      <c r="I41" s="145"/>
      <c r="J41" s="145"/>
      <c r="K41" s="145"/>
      <c r="L41" s="145"/>
      <c r="M41" s="145"/>
      <c r="Q41" s="145" t="s">
        <v>10</v>
      </c>
      <c r="R41" s="145" t="s">
        <v>18</v>
      </c>
      <c r="S41" s="145" t="s">
        <v>22</v>
      </c>
      <c r="T41" s="145">
        <v>2.2000000000000002</v>
      </c>
      <c r="U41" s="145">
        <v>2.8</v>
      </c>
      <c r="V41" s="145">
        <v>3.6</v>
      </c>
      <c r="W41" s="145">
        <v>4.0999999999999996</v>
      </c>
      <c r="X41" s="145">
        <v>5.0999999999999996</v>
      </c>
      <c r="Y41" s="145">
        <v>6.1</v>
      </c>
      <c r="Z41" s="145">
        <v>7.1</v>
      </c>
      <c r="AA41" s="145">
        <v>9</v>
      </c>
      <c r="AB41" s="145">
        <v>10.5</v>
      </c>
      <c r="AC41" s="145">
        <v>11.6</v>
      </c>
      <c r="AD41" s="145">
        <v>12.7</v>
      </c>
    </row>
    <row r="42" spans="2:30">
      <c r="B42" s="145" t="s">
        <v>10</v>
      </c>
      <c r="C42" s="145">
        <v>1.4</v>
      </c>
      <c r="D42" s="145">
        <v>1.7</v>
      </c>
      <c r="E42" s="145">
        <v>2.5</v>
      </c>
      <c r="F42" s="145">
        <v>2.8</v>
      </c>
      <c r="G42" s="145">
        <v>3.5</v>
      </c>
      <c r="H42" s="145"/>
      <c r="I42" s="145"/>
      <c r="J42" s="145"/>
      <c r="K42" s="145"/>
      <c r="L42" s="145"/>
      <c r="M42" s="145"/>
      <c r="Q42" s="145"/>
      <c r="R42" s="145"/>
      <c r="S42" s="145"/>
      <c r="T42" s="145"/>
      <c r="U42" s="145"/>
      <c r="V42" s="145"/>
      <c r="W42" s="145"/>
      <c r="X42" s="145"/>
      <c r="Y42" s="145"/>
      <c r="Z42" s="145"/>
      <c r="AA42" s="145"/>
      <c r="AB42" s="145"/>
      <c r="AC42" s="145"/>
      <c r="AD42" s="145"/>
    </row>
    <row r="43" spans="2:30" ht="15" customHeight="1">
      <c r="B43" s="145"/>
      <c r="C43" s="145"/>
      <c r="D43" s="145"/>
      <c r="E43" s="145"/>
      <c r="F43" s="145"/>
      <c r="G43" s="145"/>
      <c r="H43" s="145"/>
      <c r="I43" s="145"/>
      <c r="J43" s="145"/>
      <c r="K43" s="145"/>
      <c r="L43" s="145"/>
      <c r="M43" s="145"/>
      <c r="Q43" s="145"/>
      <c r="R43" s="145"/>
      <c r="S43" s="145"/>
      <c r="T43" s="145"/>
      <c r="U43" s="145"/>
      <c r="V43" s="145"/>
      <c r="W43" s="145"/>
      <c r="X43" s="145"/>
      <c r="Y43" s="145"/>
      <c r="Z43" s="145"/>
      <c r="AA43" s="145"/>
      <c r="AB43" s="145"/>
      <c r="AC43" s="145"/>
      <c r="AD43" s="145"/>
    </row>
    <row r="44" spans="2:30" ht="15" customHeight="1">
      <c r="B44" s="145" t="s">
        <v>25</v>
      </c>
      <c r="C44" s="145"/>
      <c r="D44" s="145"/>
      <c r="E44" s="145"/>
      <c r="F44" s="145"/>
      <c r="G44" s="145"/>
      <c r="H44" s="145"/>
      <c r="I44" s="145"/>
      <c r="J44" s="145"/>
      <c r="K44" s="145"/>
      <c r="L44" s="145"/>
      <c r="M44" s="145"/>
      <c r="Q44" s="145"/>
      <c r="R44" s="145">
        <v>0.05</v>
      </c>
      <c r="S44" s="145">
        <v>0.1</v>
      </c>
      <c r="T44" s="145">
        <v>0.2</v>
      </c>
      <c r="U44" s="145">
        <v>0.3</v>
      </c>
      <c r="V44" s="145"/>
      <c r="W44" s="145"/>
      <c r="X44" s="145"/>
      <c r="Y44" s="145"/>
      <c r="Z44" s="145"/>
      <c r="AA44" s="145"/>
      <c r="AB44" s="145"/>
      <c r="AC44" s="145"/>
      <c r="AD44" s="145"/>
    </row>
    <row r="45" spans="2:30">
      <c r="B45" s="145"/>
      <c r="C45" s="145">
        <v>2.9</v>
      </c>
      <c r="D45" s="145">
        <v>3.6</v>
      </c>
      <c r="E45" s="145">
        <v>5.2</v>
      </c>
      <c r="F45" s="145">
        <v>7.3</v>
      </c>
      <c r="G45" s="145">
        <v>10.4</v>
      </c>
      <c r="H45" s="145">
        <v>17.5</v>
      </c>
      <c r="I45" s="145">
        <v>22.5</v>
      </c>
      <c r="J45" s="145">
        <v>30</v>
      </c>
      <c r="K45" s="145">
        <v>40</v>
      </c>
      <c r="L45" s="145" t="s">
        <v>23</v>
      </c>
      <c r="M45" s="145" t="s">
        <v>26</v>
      </c>
      <c r="Q45" s="145">
        <v>0</v>
      </c>
      <c r="R45" s="145">
        <v>1</v>
      </c>
      <c r="S45" s="145">
        <v>0.88</v>
      </c>
      <c r="T45" s="145">
        <v>0.66</v>
      </c>
      <c r="U45" s="145">
        <v>0.44</v>
      </c>
      <c r="V45" s="145"/>
      <c r="W45" s="145"/>
      <c r="X45" s="145"/>
      <c r="Y45" s="145"/>
      <c r="Z45" s="145"/>
      <c r="AA45" s="145"/>
      <c r="AB45" s="145"/>
      <c r="AC45" s="145"/>
      <c r="AD45" s="145"/>
    </row>
    <row r="46" spans="2:30">
      <c r="B46" s="145" t="s">
        <v>13</v>
      </c>
      <c r="C46" s="145">
        <v>1.4</v>
      </c>
      <c r="D46" s="145">
        <v>1.7</v>
      </c>
      <c r="E46" s="145">
        <v>2.5</v>
      </c>
      <c r="F46" s="145">
        <v>3.4</v>
      </c>
      <c r="G46" s="145">
        <v>4.4000000000000004</v>
      </c>
      <c r="H46" s="145">
        <v>6.3</v>
      </c>
      <c r="I46" s="145">
        <v>7.5</v>
      </c>
      <c r="J46" s="145">
        <v>9.5</v>
      </c>
      <c r="K46" s="145">
        <v>11.2</v>
      </c>
      <c r="L46" s="145"/>
      <c r="M46" s="145"/>
      <c r="Q46" s="145">
        <v>6</v>
      </c>
      <c r="R46" s="145">
        <v>1</v>
      </c>
      <c r="S46" s="145">
        <v>0.88</v>
      </c>
      <c r="T46" s="145">
        <v>0.66</v>
      </c>
      <c r="U46" s="145">
        <v>0.44</v>
      </c>
      <c r="V46" s="145"/>
      <c r="W46" s="145"/>
      <c r="X46" s="145"/>
      <c r="Y46" s="145"/>
      <c r="Z46" s="145"/>
      <c r="AA46" s="145"/>
      <c r="AB46" s="145"/>
      <c r="AC46" s="145"/>
      <c r="AD46" s="145"/>
    </row>
    <row r="47" spans="2:30">
      <c r="B47" s="145" t="s">
        <v>12</v>
      </c>
      <c r="C47" s="145">
        <v>1.4</v>
      </c>
      <c r="D47" s="145">
        <v>1.7</v>
      </c>
      <c r="E47" s="145">
        <v>2.5</v>
      </c>
      <c r="F47" s="145">
        <v>3.2</v>
      </c>
      <c r="G47" s="145">
        <v>4.2</v>
      </c>
      <c r="H47" s="145">
        <v>5.5</v>
      </c>
      <c r="I47" s="145">
        <v>6.5</v>
      </c>
      <c r="J47" s="145">
        <v>7.9</v>
      </c>
      <c r="K47" s="145">
        <v>9.3000000000000007</v>
      </c>
      <c r="L47" s="145"/>
      <c r="M47" s="145"/>
      <c r="Q47" s="145">
        <v>8</v>
      </c>
      <c r="R47" s="145">
        <v>1</v>
      </c>
      <c r="S47" s="145">
        <v>0.88</v>
      </c>
      <c r="T47" s="145">
        <v>0.66</v>
      </c>
      <c r="U47" s="145">
        <v>0.44</v>
      </c>
      <c r="V47" s="145"/>
      <c r="W47" s="145"/>
      <c r="X47" s="145"/>
      <c r="Y47" s="145"/>
      <c r="Z47" s="145"/>
      <c r="AA47" s="145"/>
      <c r="AB47" s="145"/>
      <c r="AC47" s="145"/>
      <c r="AD47" s="145"/>
    </row>
    <row r="48" spans="2:30">
      <c r="B48" s="145" t="s">
        <v>11</v>
      </c>
      <c r="C48" s="145">
        <v>1.4</v>
      </c>
      <c r="D48" s="145">
        <v>1.7</v>
      </c>
      <c r="E48" s="145">
        <v>2.5</v>
      </c>
      <c r="F48" s="145">
        <v>3.2</v>
      </c>
      <c r="G48" s="145">
        <v>4.0999999999999996</v>
      </c>
      <c r="H48" s="145">
        <v>5.0999999999999996</v>
      </c>
      <c r="I48" s="145">
        <v>6</v>
      </c>
      <c r="J48" s="145">
        <v>7.2</v>
      </c>
      <c r="K48" s="145">
        <v>8.1999999999999993</v>
      </c>
      <c r="L48" s="145"/>
      <c r="M48" s="145"/>
      <c r="Q48" s="145">
        <v>10</v>
      </c>
      <c r="R48" s="145">
        <v>0.97</v>
      </c>
      <c r="S48" s="145">
        <v>0.88</v>
      </c>
      <c r="T48" s="145">
        <v>0.66</v>
      </c>
      <c r="U48" s="145">
        <v>0.44</v>
      </c>
      <c r="V48" s="145"/>
      <c r="W48" s="145"/>
      <c r="X48" s="145"/>
      <c r="Y48" s="145"/>
      <c r="Z48" s="145"/>
      <c r="AA48" s="145"/>
      <c r="AB48" s="145"/>
      <c r="AC48" s="145"/>
      <c r="AD48" s="145"/>
    </row>
    <row r="49" spans="2:30">
      <c r="B49" s="145" t="s">
        <v>10</v>
      </c>
      <c r="C49" s="145">
        <v>1.4</v>
      </c>
      <c r="D49" s="145">
        <v>1.7</v>
      </c>
      <c r="E49" s="145">
        <v>2.2000000000000002</v>
      </c>
      <c r="F49" s="145">
        <v>2.8</v>
      </c>
      <c r="G49" s="145">
        <v>3.5</v>
      </c>
      <c r="H49" s="145">
        <v>4.5999999999999996</v>
      </c>
      <c r="I49" s="145">
        <v>5.3</v>
      </c>
      <c r="J49" s="145">
        <v>6.2</v>
      </c>
      <c r="K49" s="145">
        <v>7.1</v>
      </c>
      <c r="L49" s="145"/>
      <c r="M49" s="145"/>
      <c r="Q49" s="145">
        <v>12</v>
      </c>
      <c r="R49" s="145">
        <v>0.93</v>
      </c>
      <c r="S49" s="145">
        <v>0.87</v>
      </c>
      <c r="T49" s="145">
        <v>0.66</v>
      </c>
      <c r="U49" s="145">
        <v>0.44</v>
      </c>
      <c r="V49" s="145"/>
      <c r="W49" s="145"/>
      <c r="X49" s="145"/>
      <c r="Y49" s="145"/>
      <c r="Z49" s="145"/>
      <c r="AA49" s="145"/>
      <c r="AB49" s="145"/>
      <c r="AC49" s="145"/>
      <c r="AD49" s="145"/>
    </row>
    <row r="50" spans="2:30">
      <c r="B50" s="145"/>
      <c r="C50" s="145"/>
      <c r="D50" s="145"/>
      <c r="E50" s="145"/>
      <c r="F50" s="145"/>
      <c r="G50" s="145"/>
      <c r="H50" s="145"/>
      <c r="I50" s="145"/>
      <c r="J50" s="145"/>
      <c r="K50" s="145"/>
      <c r="L50" s="145"/>
      <c r="M50" s="145"/>
      <c r="Q50" s="145">
        <v>14</v>
      </c>
      <c r="R50" s="145">
        <v>0.89</v>
      </c>
      <c r="S50" s="145">
        <v>0.83</v>
      </c>
      <c r="T50" s="145">
        <v>0.66</v>
      </c>
      <c r="U50" s="145">
        <v>0.44</v>
      </c>
      <c r="V50" s="145"/>
      <c r="W50" s="145"/>
      <c r="X50" s="145"/>
      <c r="Y50" s="145"/>
      <c r="Z50" s="145"/>
      <c r="AA50" s="145"/>
      <c r="AB50" s="145"/>
      <c r="AC50" s="145"/>
      <c r="AD50" s="145"/>
    </row>
    <row r="51" spans="2:30">
      <c r="B51" s="145" t="s">
        <v>27</v>
      </c>
      <c r="C51" s="145"/>
      <c r="D51" s="145"/>
      <c r="E51" s="145"/>
      <c r="F51" s="145"/>
      <c r="G51" s="145"/>
      <c r="H51" s="145"/>
      <c r="I51" s="145"/>
      <c r="J51" s="145"/>
      <c r="K51" s="146"/>
      <c r="L51" s="145"/>
      <c r="M51" s="145"/>
      <c r="Q51" s="145">
        <v>16</v>
      </c>
      <c r="R51" s="145">
        <v>0.83</v>
      </c>
      <c r="S51" s="145">
        <v>0.77</v>
      </c>
      <c r="T51" s="145">
        <v>0.64</v>
      </c>
      <c r="U51" s="145">
        <v>0.44</v>
      </c>
      <c r="V51" s="145"/>
      <c r="W51" s="145"/>
      <c r="X51" s="145"/>
      <c r="Y51" s="145"/>
      <c r="Z51" s="145"/>
      <c r="AA51" s="145"/>
      <c r="AB51" s="145"/>
      <c r="AC51" s="145"/>
      <c r="AD51" s="145"/>
    </row>
    <row r="52" spans="2:30">
      <c r="B52" s="145"/>
      <c r="C52" s="145">
        <v>2.9</v>
      </c>
      <c r="D52" s="145">
        <v>3.6</v>
      </c>
      <c r="E52" s="145">
        <v>5.2</v>
      </c>
      <c r="F52" s="145">
        <v>7.3</v>
      </c>
      <c r="G52" s="145">
        <v>10.4</v>
      </c>
      <c r="H52" s="145">
        <v>17.5</v>
      </c>
      <c r="I52" s="145">
        <v>22.5</v>
      </c>
      <c r="J52" s="145">
        <v>30</v>
      </c>
      <c r="K52" s="145">
        <v>40</v>
      </c>
      <c r="L52" s="145" t="s">
        <v>23</v>
      </c>
      <c r="M52" s="145" t="s">
        <v>26</v>
      </c>
      <c r="Q52" s="145">
        <v>18</v>
      </c>
      <c r="R52" s="145">
        <v>0.77</v>
      </c>
      <c r="S52" s="145">
        <v>0.7</v>
      </c>
      <c r="T52" s="145">
        <v>0.56999999999999995</v>
      </c>
      <c r="U52" s="145">
        <v>0.44</v>
      </c>
      <c r="V52" s="145"/>
      <c r="W52" s="145"/>
      <c r="X52" s="145"/>
      <c r="Y52" s="145"/>
      <c r="Z52" s="145"/>
      <c r="AA52" s="145"/>
      <c r="AB52" s="145"/>
      <c r="AC52" s="145"/>
      <c r="AD52" s="145"/>
    </row>
    <row r="53" spans="2:30">
      <c r="B53" s="145" t="s">
        <v>13</v>
      </c>
      <c r="C53" s="145">
        <v>2.8</v>
      </c>
      <c r="D53" s="145">
        <v>3.5</v>
      </c>
      <c r="E53" s="145">
        <v>5</v>
      </c>
      <c r="F53" s="145">
        <v>6.8</v>
      </c>
      <c r="G53" s="145">
        <v>8.8000000000000007</v>
      </c>
      <c r="H53" s="145">
        <v>12.5</v>
      </c>
      <c r="I53" s="145">
        <v>15</v>
      </c>
      <c r="J53" s="145">
        <v>18.7</v>
      </c>
      <c r="K53" s="145">
        <v>22.1</v>
      </c>
      <c r="L53" s="145"/>
      <c r="M53" s="145"/>
      <c r="Q53" s="145">
        <v>20</v>
      </c>
      <c r="R53" s="145">
        <v>0.7</v>
      </c>
      <c r="S53" s="145">
        <v>0.64</v>
      </c>
      <c r="T53" s="145">
        <v>0.51</v>
      </c>
      <c r="U53" s="145">
        <v>0.37</v>
      </c>
      <c r="V53" s="145"/>
      <c r="W53" s="145"/>
      <c r="X53" s="145"/>
      <c r="Y53" s="145"/>
      <c r="Z53" s="145"/>
      <c r="AA53" s="145"/>
      <c r="AB53" s="145"/>
      <c r="AC53" s="145"/>
      <c r="AD53" s="145"/>
    </row>
    <row r="54" spans="2:30">
      <c r="B54" s="145" t="s">
        <v>12</v>
      </c>
      <c r="C54" s="145">
        <v>2.8</v>
      </c>
      <c r="D54" s="145">
        <v>3.5</v>
      </c>
      <c r="E54" s="145">
        <v>5</v>
      </c>
      <c r="F54" s="145">
        <v>6.4</v>
      </c>
      <c r="G54" s="145">
        <v>8.4</v>
      </c>
      <c r="H54" s="145">
        <v>11.1</v>
      </c>
      <c r="I54" s="145">
        <v>13</v>
      </c>
      <c r="J54" s="145">
        <v>15.9</v>
      </c>
      <c r="K54" s="145">
        <v>18.7</v>
      </c>
      <c r="L54" s="145"/>
      <c r="M54" s="145"/>
      <c r="Q54" s="145">
        <v>22</v>
      </c>
      <c r="R54" s="145">
        <v>0.62</v>
      </c>
      <c r="S54" s="145">
        <v>0.56000000000000005</v>
      </c>
      <c r="T54" s="145">
        <v>0.43</v>
      </c>
      <c r="U54" s="145">
        <v>0.3</v>
      </c>
      <c r="V54" s="145"/>
      <c r="W54" s="145"/>
      <c r="X54" s="145"/>
      <c r="Y54" s="145"/>
      <c r="Z54" s="145"/>
      <c r="AA54" s="145"/>
      <c r="AB54" s="145"/>
      <c r="AC54" s="145"/>
      <c r="AD54" s="145"/>
    </row>
    <row r="55" spans="2:30">
      <c r="B55" s="145" t="s">
        <v>11</v>
      </c>
      <c r="C55" s="145">
        <v>2.8</v>
      </c>
      <c r="D55" s="145">
        <v>3.5</v>
      </c>
      <c r="E55" s="145">
        <v>5</v>
      </c>
      <c r="F55" s="145">
        <v>6.4</v>
      </c>
      <c r="G55" s="145">
        <v>8.1999999999999993</v>
      </c>
      <c r="H55" s="145">
        <v>10.1</v>
      </c>
      <c r="I55" s="145">
        <v>12</v>
      </c>
      <c r="J55" s="145">
        <v>14.5</v>
      </c>
      <c r="K55" s="145">
        <v>16.8</v>
      </c>
      <c r="L55" s="145"/>
      <c r="M55" s="145"/>
      <c r="Q55" s="145">
        <v>24</v>
      </c>
      <c r="R55" s="145">
        <v>0.53</v>
      </c>
      <c r="S55" s="145">
        <v>0.47</v>
      </c>
      <c r="T55" s="145">
        <v>0.34</v>
      </c>
      <c r="U55" s="145"/>
      <c r="V55" s="145"/>
      <c r="W55" s="145"/>
      <c r="X55" s="145"/>
      <c r="Y55" s="145"/>
      <c r="Z55" s="145"/>
      <c r="AA55" s="145"/>
      <c r="AB55" s="145"/>
      <c r="AC55" s="145"/>
      <c r="AD55" s="145"/>
    </row>
    <row r="56" spans="2:30">
      <c r="B56" s="145" t="s">
        <v>10</v>
      </c>
      <c r="C56" s="145">
        <v>2.8</v>
      </c>
      <c r="D56" s="145">
        <v>3.5</v>
      </c>
      <c r="E56" s="145">
        <v>4.4000000000000004</v>
      </c>
      <c r="F56" s="145">
        <v>5.6</v>
      </c>
      <c r="G56" s="145">
        <v>7</v>
      </c>
      <c r="H56" s="145">
        <v>9.1</v>
      </c>
      <c r="I56" s="145">
        <v>10.5</v>
      </c>
      <c r="J56" s="145">
        <v>12.5</v>
      </c>
      <c r="K56" s="145">
        <v>14.5</v>
      </c>
      <c r="L56" s="145"/>
      <c r="M56" s="145"/>
      <c r="Q56" s="145">
        <v>26</v>
      </c>
      <c r="R56" s="145">
        <v>0.45</v>
      </c>
      <c r="S56" s="145">
        <v>0.38</v>
      </c>
      <c r="T56" s="145"/>
      <c r="U56" s="145"/>
      <c r="V56" s="145"/>
      <c r="W56" s="145"/>
      <c r="X56" s="145"/>
      <c r="Y56" s="145"/>
      <c r="Z56" s="145"/>
      <c r="AA56" s="145"/>
      <c r="AB56" s="145"/>
      <c r="AC56" s="145"/>
      <c r="AD56" s="145"/>
    </row>
    <row r="57" spans="2:30">
      <c r="B57" s="145"/>
      <c r="C57" s="145"/>
      <c r="D57" s="145"/>
      <c r="E57" s="145"/>
      <c r="F57" s="145"/>
      <c r="G57" s="145"/>
      <c r="H57" s="145"/>
      <c r="I57" s="145"/>
      <c r="J57" s="145"/>
      <c r="K57" s="145"/>
      <c r="L57" s="145"/>
      <c r="M57" s="145"/>
      <c r="Q57" s="145">
        <v>27</v>
      </c>
      <c r="R57" s="145">
        <v>0.4</v>
      </c>
      <c r="S57" s="145">
        <v>0.33</v>
      </c>
      <c r="T57" s="145"/>
      <c r="U57" s="145"/>
      <c r="V57" s="145"/>
      <c r="W57" s="145"/>
      <c r="X57" s="145"/>
      <c r="Y57" s="145"/>
      <c r="Z57" s="145"/>
      <c r="AA57" s="145"/>
      <c r="AB57" s="145"/>
      <c r="AC57" s="145"/>
      <c r="AD57" s="145"/>
    </row>
    <row r="58" spans="2:30">
      <c r="B58" s="145" t="s">
        <v>28</v>
      </c>
      <c r="C58" s="145"/>
      <c r="D58" s="145"/>
      <c r="E58" s="145"/>
      <c r="F58" s="145"/>
      <c r="G58" s="145"/>
      <c r="H58" s="145"/>
      <c r="I58" s="145"/>
      <c r="J58" s="145"/>
      <c r="K58" s="145"/>
      <c r="L58" s="145"/>
      <c r="M58" s="145"/>
    </row>
    <row r="59" spans="2:30">
      <c r="B59" s="145"/>
      <c r="C59" s="145">
        <v>2.9</v>
      </c>
      <c r="D59" s="145">
        <v>3.6</v>
      </c>
      <c r="E59" s="145">
        <v>5.2</v>
      </c>
      <c r="F59" s="145">
        <v>7.3</v>
      </c>
      <c r="G59" s="145">
        <v>10.4</v>
      </c>
      <c r="H59" s="145"/>
      <c r="I59" s="145"/>
      <c r="J59" s="145"/>
      <c r="K59" s="145"/>
      <c r="L59" s="145"/>
      <c r="M59" s="145"/>
    </row>
    <row r="60" spans="2:30">
      <c r="B60" s="145" t="s">
        <v>13</v>
      </c>
      <c r="C60" s="145">
        <v>2.8</v>
      </c>
      <c r="D60" s="145">
        <v>3.5</v>
      </c>
      <c r="E60" s="145">
        <v>5</v>
      </c>
      <c r="F60" s="145">
        <v>6.8</v>
      </c>
      <c r="G60" s="145">
        <v>8.8000000000000007</v>
      </c>
      <c r="H60" s="145"/>
      <c r="I60" s="145"/>
      <c r="J60" s="145"/>
      <c r="K60" s="145"/>
      <c r="L60" s="145"/>
      <c r="M60" s="145"/>
    </row>
    <row r="61" spans="2:30">
      <c r="B61" s="145" t="s">
        <v>12</v>
      </c>
      <c r="C61" s="145">
        <v>2.8</v>
      </c>
      <c r="D61" s="145">
        <v>3.5</v>
      </c>
      <c r="E61" s="145">
        <v>5</v>
      </c>
      <c r="F61" s="145">
        <v>6.4</v>
      </c>
      <c r="G61" s="145">
        <v>8.4</v>
      </c>
      <c r="H61" s="145"/>
      <c r="I61" s="145"/>
      <c r="J61" s="145"/>
      <c r="K61" s="145"/>
      <c r="L61" s="145"/>
      <c r="M61" s="145"/>
    </row>
    <row r="62" spans="2:30">
      <c r="B62" s="145" t="s">
        <v>11</v>
      </c>
      <c r="C62" s="145">
        <v>2.8</v>
      </c>
      <c r="D62" s="145">
        <v>3.5</v>
      </c>
      <c r="E62" s="145">
        <v>5</v>
      </c>
      <c r="F62" s="145">
        <v>6.4</v>
      </c>
      <c r="G62" s="145">
        <v>8.1999999999999993</v>
      </c>
      <c r="H62" s="145"/>
      <c r="I62" s="145"/>
      <c r="J62" s="145"/>
      <c r="K62" s="145"/>
      <c r="L62" s="145"/>
      <c r="M62" s="145"/>
    </row>
    <row r="63" spans="2:30">
      <c r="B63" s="145" t="s">
        <v>10</v>
      </c>
      <c r="C63" s="145">
        <v>2.8</v>
      </c>
      <c r="D63" s="145">
        <v>3.5</v>
      </c>
      <c r="E63" s="145">
        <v>4.4000000000000004</v>
      </c>
      <c r="F63" s="145">
        <v>5.6</v>
      </c>
      <c r="G63" s="145">
        <v>7</v>
      </c>
      <c r="H63" s="145"/>
      <c r="I63" s="145"/>
      <c r="J63" s="145"/>
      <c r="K63" s="145"/>
      <c r="L63" s="145"/>
      <c r="M63" s="145"/>
      <c r="U63" s="130"/>
      <c r="V63" s="147"/>
    </row>
    <row r="64" spans="2:30">
      <c r="B64" s="145"/>
      <c r="C64" s="145"/>
      <c r="D64" s="145"/>
      <c r="E64" s="145"/>
      <c r="F64" s="145"/>
      <c r="G64" s="145"/>
      <c r="H64" s="145"/>
      <c r="I64" s="145"/>
      <c r="J64" s="145"/>
      <c r="K64" s="145"/>
      <c r="L64" s="145"/>
      <c r="M64" s="145"/>
      <c r="V64" s="147"/>
    </row>
    <row r="65" spans="2:22">
      <c r="B65" s="145" t="s">
        <v>29</v>
      </c>
      <c r="C65" s="145"/>
      <c r="D65" s="145"/>
      <c r="E65" s="145"/>
      <c r="F65" s="145"/>
      <c r="G65" s="145"/>
      <c r="H65" s="145"/>
      <c r="I65" s="145"/>
      <c r="J65" s="145"/>
      <c r="K65" s="145"/>
      <c r="L65" s="145"/>
      <c r="M65" s="145"/>
      <c r="V65" s="147"/>
    </row>
    <row r="66" spans="2:22">
      <c r="B66" s="145"/>
      <c r="C66" s="145">
        <v>2.9</v>
      </c>
      <c r="D66" s="145">
        <v>3.6</v>
      </c>
      <c r="E66" s="145">
        <v>5.2</v>
      </c>
      <c r="F66" s="145">
        <v>7.3</v>
      </c>
      <c r="G66" s="145">
        <v>10.4</v>
      </c>
      <c r="H66" s="145">
        <v>17.5</v>
      </c>
      <c r="I66" s="145">
        <v>22.5</v>
      </c>
      <c r="J66" s="145">
        <v>30</v>
      </c>
      <c r="K66" s="145">
        <v>40</v>
      </c>
      <c r="L66" s="145" t="s">
        <v>23</v>
      </c>
      <c r="M66" s="145" t="s">
        <v>26</v>
      </c>
      <c r="V66" s="147"/>
    </row>
    <row r="67" spans="2:22">
      <c r="B67" s="145" t="s">
        <v>13</v>
      </c>
      <c r="C67" s="145">
        <v>2.8</v>
      </c>
      <c r="D67" s="145">
        <v>3.5</v>
      </c>
      <c r="E67" s="145">
        <v>5</v>
      </c>
      <c r="F67" s="145">
        <v>6.6</v>
      </c>
      <c r="G67" s="145">
        <v>8.1</v>
      </c>
      <c r="H67" s="145">
        <v>11.2</v>
      </c>
      <c r="I67" s="145">
        <v>13.1</v>
      </c>
      <c r="J67" s="145">
        <v>16</v>
      </c>
      <c r="K67" s="145">
        <v>19.399999999999999</v>
      </c>
      <c r="L67" s="145"/>
      <c r="M67" s="145"/>
      <c r="V67" s="147"/>
    </row>
    <row r="68" spans="2:22">
      <c r="B68" s="145" t="s">
        <v>12</v>
      </c>
      <c r="C68" s="145">
        <v>2.8</v>
      </c>
      <c r="D68" s="145">
        <v>3.5</v>
      </c>
      <c r="E68" s="145">
        <v>5</v>
      </c>
      <c r="F68" s="145">
        <v>6.4</v>
      </c>
      <c r="G68" s="145">
        <v>7.5</v>
      </c>
      <c r="H68" s="145">
        <v>9.9</v>
      </c>
      <c r="I68" s="145">
        <v>11.6</v>
      </c>
      <c r="J68" s="145">
        <v>14</v>
      </c>
      <c r="K68" s="145">
        <v>16.7</v>
      </c>
      <c r="L68" s="145"/>
      <c r="M68" s="145"/>
    </row>
    <row r="69" spans="2:22">
      <c r="B69" s="145" t="s">
        <v>11</v>
      </c>
      <c r="C69" s="145">
        <v>2.8</v>
      </c>
      <c r="D69" s="145">
        <v>3.5</v>
      </c>
      <c r="E69" s="145">
        <v>5</v>
      </c>
      <c r="F69" s="145">
        <v>6.1</v>
      </c>
      <c r="G69" s="145">
        <v>7.1</v>
      </c>
      <c r="H69" s="145">
        <v>9</v>
      </c>
      <c r="I69" s="145">
        <v>10.199999999999999</v>
      </c>
      <c r="J69" s="145">
        <v>12</v>
      </c>
      <c r="K69" s="145">
        <v>14</v>
      </c>
      <c r="L69" s="145"/>
      <c r="M69" s="145"/>
    </row>
    <row r="70" spans="2:22">
      <c r="B70" s="145" t="s">
        <v>10</v>
      </c>
      <c r="C70" s="145">
        <v>2.8</v>
      </c>
      <c r="D70" s="145">
        <v>3.5</v>
      </c>
      <c r="E70" s="145">
        <v>4.4000000000000004</v>
      </c>
      <c r="F70" s="145">
        <v>5.8</v>
      </c>
      <c r="G70" s="145">
        <v>6.7</v>
      </c>
      <c r="H70" s="145">
        <v>8</v>
      </c>
      <c r="I70" s="145">
        <v>8.9</v>
      </c>
      <c r="J70" s="145">
        <v>10.199999999999999</v>
      </c>
      <c r="K70" s="145">
        <v>11.5</v>
      </c>
      <c r="L70" s="145"/>
      <c r="M70" s="145"/>
    </row>
    <row r="71" spans="2:22">
      <c r="B71" s="145"/>
      <c r="C71" s="145"/>
      <c r="D71" s="145"/>
      <c r="E71" s="145"/>
      <c r="F71" s="145"/>
      <c r="G71" s="145"/>
      <c r="H71" s="145"/>
      <c r="I71" s="145"/>
      <c r="J71" s="145"/>
      <c r="K71" s="145"/>
      <c r="L71" s="145"/>
      <c r="M71" s="145"/>
    </row>
    <row r="72" spans="2:22">
      <c r="B72" s="145" t="s">
        <v>30</v>
      </c>
      <c r="C72" s="145"/>
      <c r="D72" s="145"/>
      <c r="E72" s="145"/>
      <c r="F72" s="145"/>
      <c r="G72" s="145"/>
      <c r="H72" s="145"/>
      <c r="I72" s="145"/>
      <c r="J72" s="145"/>
      <c r="K72" s="145"/>
      <c r="L72" s="145"/>
      <c r="M72" s="145"/>
    </row>
    <row r="73" spans="2:22">
      <c r="B73" s="145"/>
      <c r="C73" s="145">
        <v>2.9</v>
      </c>
      <c r="D73" s="145">
        <v>3.6</v>
      </c>
      <c r="E73" s="145">
        <v>5.2</v>
      </c>
      <c r="F73" s="145">
        <v>7.3</v>
      </c>
      <c r="G73" s="145">
        <v>10.4</v>
      </c>
      <c r="H73" s="145">
        <v>17.5</v>
      </c>
      <c r="I73" s="145">
        <v>22.5</v>
      </c>
      <c r="J73" s="145">
        <v>30</v>
      </c>
      <c r="K73" s="145">
        <v>40</v>
      </c>
      <c r="L73" s="145" t="s">
        <v>23</v>
      </c>
      <c r="M73" s="145" t="s">
        <v>26</v>
      </c>
    </row>
    <row r="74" spans="2:22">
      <c r="B74" s="145" t="s">
        <v>13</v>
      </c>
      <c r="C74" s="145">
        <v>2.8</v>
      </c>
      <c r="D74" s="145">
        <v>3.4</v>
      </c>
      <c r="E74" s="145">
        <v>4.4000000000000004</v>
      </c>
      <c r="F74" s="145">
        <v>5.5</v>
      </c>
      <c r="G74" s="145">
        <v>7</v>
      </c>
      <c r="H74" s="145">
        <v>9.6999999999999993</v>
      </c>
      <c r="I74" s="145">
        <v>11.6</v>
      </c>
      <c r="J74" s="145">
        <v>14.2</v>
      </c>
      <c r="K74" s="145">
        <v>16.5</v>
      </c>
      <c r="L74" s="145"/>
      <c r="M74" s="145"/>
    </row>
    <row r="75" spans="2:22">
      <c r="B75" s="145" t="s">
        <v>12</v>
      </c>
      <c r="C75" s="145">
        <v>2.5</v>
      </c>
      <c r="D75" s="145">
        <v>2.8</v>
      </c>
      <c r="E75" s="145">
        <v>3.5</v>
      </c>
      <c r="F75" s="145">
        <v>4.5</v>
      </c>
      <c r="G75" s="145">
        <v>5.7</v>
      </c>
      <c r="H75" s="145">
        <v>7.9</v>
      </c>
      <c r="I75" s="145">
        <v>9.4</v>
      </c>
      <c r="J75" s="145">
        <v>11.6</v>
      </c>
      <c r="K75" s="145">
        <v>13.5</v>
      </c>
      <c r="L75" s="145"/>
      <c r="M75" s="145"/>
    </row>
    <row r="76" spans="2:22">
      <c r="B76" s="145" t="s">
        <v>11</v>
      </c>
      <c r="C76" s="145">
        <v>2.2999999999999998</v>
      </c>
      <c r="D76" s="145">
        <v>2.4</v>
      </c>
      <c r="E76" s="145">
        <v>3.1</v>
      </c>
      <c r="F76" s="145">
        <v>4</v>
      </c>
      <c r="G76" s="145">
        <v>5.0999999999999996</v>
      </c>
      <c r="H76" s="145">
        <v>7</v>
      </c>
      <c r="I76" s="145">
        <v>8.3000000000000007</v>
      </c>
      <c r="J76" s="145">
        <v>10.3</v>
      </c>
      <c r="K76" s="145">
        <v>12</v>
      </c>
      <c r="L76" s="145"/>
      <c r="M76" s="145"/>
    </row>
    <row r="77" spans="2:22">
      <c r="B77" s="145" t="s">
        <v>10</v>
      </c>
      <c r="C77" s="145">
        <v>2.2000000000000002</v>
      </c>
      <c r="D77" s="145">
        <v>2.2999999999999998</v>
      </c>
      <c r="E77" s="145">
        <v>2.5</v>
      </c>
      <c r="F77" s="145">
        <v>3.2</v>
      </c>
      <c r="G77" s="145">
        <v>4.0999999999999996</v>
      </c>
      <c r="H77" s="145">
        <v>5.7</v>
      </c>
      <c r="I77" s="145">
        <v>6.8</v>
      </c>
      <c r="J77" s="145">
        <v>8.1999999999999993</v>
      </c>
      <c r="K77" s="145">
        <v>9.5</v>
      </c>
      <c r="L77" s="145"/>
      <c r="M77" s="145"/>
    </row>
    <row r="78" spans="2:22">
      <c r="B78" s="145"/>
      <c r="C78" s="145"/>
      <c r="D78" s="145"/>
      <c r="E78" s="145"/>
      <c r="F78" s="145"/>
      <c r="G78" s="145"/>
      <c r="H78" s="145"/>
      <c r="I78" s="145"/>
      <c r="J78" s="145"/>
      <c r="K78" s="145"/>
      <c r="L78" s="145"/>
      <c r="M78" s="145"/>
    </row>
    <row r="79" spans="2:22">
      <c r="B79" s="145" t="s">
        <v>31</v>
      </c>
      <c r="C79" s="145"/>
      <c r="D79" s="145"/>
      <c r="E79" s="145"/>
      <c r="F79" s="145"/>
      <c r="G79" s="145"/>
      <c r="H79" s="145"/>
      <c r="I79" s="145"/>
      <c r="J79" s="145"/>
      <c r="K79" s="145"/>
      <c r="L79" s="145"/>
      <c r="M79" s="145"/>
    </row>
    <row r="80" spans="2:22">
      <c r="B80" s="145"/>
      <c r="C80" s="145">
        <v>2.9</v>
      </c>
      <c r="D80" s="145">
        <v>3.6</v>
      </c>
      <c r="E80" s="145">
        <v>5.2</v>
      </c>
      <c r="F80" s="145">
        <v>7.3</v>
      </c>
      <c r="G80" s="145">
        <v>10.4</v>
      </c>
      <c r="H80" s="145">
        <v>17.5</v>
      </c>
      <c r="I80" s="145">
        <v>22.5</v>
      </c>
      <c r="J80" s="145">
        <v>30</v>
      </c>
      <c r="K80" s="145">
        <v>40</v>
      </c>
      <c r="L80" s="145" t="s">
        <v>23</v>
      </c>
      <c r="M80" s="145" t="s">
        <v>26</v>
      </c>
    </row>
    <row r="81" spans="2:33">
      <c r="B81" s="145" t="s">
        <v>13</v>
      </c>
      <c r="C81" s="145">
        <v>2.8</v>
      </c>
      <c r="D81" s="145">
        <v>3.5</v>
      </c>
      <c r="E81" s="145">
        <v>4.5</v>
      </c>
      <c r="F81" s="145">
        <v>5.6</v>
      </c>
      <c r="G81" s="145">
        <v>7.2</v>
      </c>
      <c r="H81" s="145">
        <v>9.6999999999999993</v>
      </c>
      <c r="I81" s="145">
        <v>11.3</v>
      </c>
      <c r="J81" s="145">
        <v>13.5</v>
      </c>
      <c r="K81" s="145">
        <v>15.4</v>
      </c>
      <c r="L81" s="145"/>
      <c r="M81" s="145"/>
    </row>
    <row r="82" spans="2:33">
      <c r="B82" s="145" t="s">
        <v>12</v>
      </c>
      <c r="C82" s="145">
        <v>2.5</v>
      </c>
      <c r="D82" s="145">
        <v>2.9</v>
      </c>
      <c r="E82" s="145">
        <v>3.7</v>
      </c>
      <c r="F82" s="145">
        <v>4.5999999999999996</v>
      </c>
      <c r="G82" s="145">
        <v>5.9</v>
      </c>
      <c r="H82" s="145">
        <v>7.9</v>
      </c>
      <c r="I82" s="145">
        <v>9.1</v>
      </c>
      <c r="J82" s="145">
        <v>10.8</v>
      </c>
      <c r="K82" s="145">
        <v>12.3</v>
      </c>
      <c r="L82" s="145"/>
      <c r="M82" s="145"/>
    </row>
    <row r="83" spans="2:33">
      <c r="B83" s="145" t="s">
        <v>11</v>
      </c>
      <c r="C83" s="145">
        <v>2.2999999999999998</v>
      </c>
      <c r="D83" s="145">
        <v>2.5</v>
      </c>
      <c r="E83" s="145">
        <v>3.2</v>
      </c>
      <c r="F83" s="145">
        <v>4.0999999999999996</v>
      </c>
      <c r="G83" s="145">
        <v>5.2</v>
      </c>
      <c r="H83" s="145">
        <v>7</v>
      </c>
      <c r="I83" s="145">
        <v>8.1</v>
      </c>
      <c r="J83" s="145">
        <v>9.6</v>
      </c>
      <c r="K83" s="145">
        <v>11.1</v>
      </c>
      <c r="L83" s="145"/>
      <c r="M83" s="145"/>
    </row>
    <row r="84" spans="2:33">
      <c r="B84" s="145" t="s">
        <v>10</v>
      </c>
      <c r="C84" s="145">
        <v>2.2000000000000002</v>
      </c>
      <c r="D84" s="145">
        <v>2.1</v>
      </c>
      <c r="E84" s="145">
        <v>2.6</v>
      </c>
      <c r="F84" s="145">
        <v>3.3</v>
      </c>
      <c r="G84" s="145">
        <v>4.3</v>
      </c>
      <c r="H84" s="145">
        <v>5.7</v>
      </c>
      <c r="I84" s="145">
        <v>6.6</v>
      </c>
      <c r="J84" s="145">
        <v>7.8</v>
      </c>
      <c r="K84" s="145">
        <v>9</v>
      </c>
      <c r="L84" s="145"/>
      <c r="M84" s="145"/>
    </row>
    <row r="86" spans="2:33">
      <c r="U86" s="130"/>
      <c r="V86" s="147"/>
    </row>
    <row r="87" spans="2:33">
      <c r="V87" s="147"/>
    </row>
    <row r="88" spans="2:33">
      <c r="V88" s="147"/>
    </row>
    <row r="90" spans="2:33">
      <c r="V90" s="147"/>
    </row>
    <row r="91" spans="2:33">
      <c r="AF91" s="148"/>
      <c r="AG91" s="148"/>
    </row>
    <row r="92" spans="2:33">
      <c r="AF92" s="148"/>
      <c r="AG92" s="148"/>
    </row>
    <row r="99" spans="21:21">
      <c r="U99" s="147"/>
    </row>
  </sheetData>
  <sheetProtection password="CD8C" sheet="1" objects="1" scenarios="1"/>
  <mergeCells count="1">
    <mergeCell ref="B3:H4"/>
  </mergeCells>
  <pageMargins left="0.7" right="0.7" top="0.75" bottom="0.75" header="0.3" footer="0.3"/>
  <pageSetup paperSize="8" orientation="portrait" r:id="rId1"/>
  <extLst>
    <ext xmlns:x14="http://schemas.microsoft.com/office/spreadsheetml/2009/9/main" uri="{78C0D931-6437-407d-A8EE-F0AAD7539E65}">
      <x14:conditionalFormattings>
        <x14:conditionalFormatting xmlns:xm="http://schemas.microsoft.com/office/excel/2006/main">
          <x14:cfRule type="expression" priority="33" stopIfTrue="1" id="{00000000-000E-0000-0100-000009000000}">
            <xm:f>'masonry bearing'!$AF$8=1</xm:f>
            <x14:dxf>
              <font>
                <color theme="0"/>
              </font>
            </x14:dxf>
          </x14:cfRule>
          <xm:sqref>B8:J13</xm:sqref>
        </x14:conditionalFormatting>
        <x14:conditionalFormatting xmlns:xm="http://schemas.microsoft.com/office/excel/2006/main">
          <x14:cfRule type="expression" priority="34" stopIfTrue="1" id="{00000000-000E-0000-0100-000008000000}">
            <xm:f>OR('masonry bearing'!$AF$8=5,'masonry bearing'!$AF$8=6)</xm:f>
            <x14:dxf>
              <font>
                <color theme="0"/>
              </font>
            </x14:dxf>
          </x14:cfRule>
          <xm:sqref>B8:J8 B13:J13</xm:sqref>
        </x14:conditionalFormatting>
        <x14:conditionalFormatting xmlns:xm="http://schemas.microsoft.com/office/excel/2006/main">
          <x14:cfRule type="expression" priority="173" stopIfTrue="1" id="{00000000-000E-0000-0100-000016000000}">
            <xm:f>'masonry bearing'!$M$33="Yes"</xm:f>
            <x14:dxf>
              <font>
                <color theme="0"/>
              </font>
            </x14:dxf>
          </x14:cfRule>
          <xm:sqref>B48:J48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6"/>
  <dimension ref="A1:S50"/>
  <sheetViews>
    <sheetView showGridLines="0" tabSelected="1" zoomScale="90" zoomScaleNormal="90" workbookViewId="0"/>
  </sheetViews>
  <sheetFormatPr defaultRowHeight="15"/>
  <cols>
    <col min="1" max="1" width="2.85546875" style="24" customWidth="1"/>
    <col min="2" max="2" width="8.5703125" style="24" customWidth="1"/>
    <col min="3" max="10" width="9.7109375" style="24" customWidth="1"/>
    <col min="11" max="11" width="8.5703125" style="24" customWidth="1"/>
    <col min="12" max="12" width="2.85546875" style="24" customWidth="1"/>
    <col min="13" max="13" width="6.85546875" style="24" customWidth="1"/>
    <col min="14" max="14" width="7.5703125" style="24" customWidth="1"/>
    <col min="15" max="19" width="9.140625" style="24" hidden="1" customWidth="1"/>
    <col min="20" max="20" width="0" style="24" hidden="1" customWidth="1"/>
    <col min="21" max="256" width="9" style="24"/>
    <col min="257" max="257" width="2.85546875" style="24" customWidth="1"/>
    <col min="258" max="258" width="8.5703125" style="24" customWidth="1"/>
    <col min="259" max="266" width="9.7109375" style="24" customWidth="1"/>
    <col min="267" max="267" width="8.5703125" style="24" customWidth="1"/>
    <col min="268" max="268" width="2.85546875" style="24" customWidth="1"/>
    <col min="269" max="269" width="6.85546875" style="24" customWidth="1"/>
    <col min="270" max="270" width="7.5703125" style="24" customWidth="1"/>
    <col min="271" max="276" width="0" style="24" hidden="1" customWidth="1"/>
    <col min="277" max="512" width="9" style="24"/>
    <col min="513" max="513" width="2.85546875" style="24" customWidth="1"/>
    <col min="514" max="514" width="8.5703125" style="24" customWidth="1"/>
    <col min="515" max="522" width="9.7109375" style="24" customWidth="1"/>
    <col min="523" max="523" width="8.5703125" style="24" customWidth="1"/>
    <col min="524" max="524" width="2.85546875" style="24" customWidth="1"/>
    <col min="525" max="525" width="6.85546875" style="24" customWidth="1"/>
    <col min="526" max="526" width="7.5703125" style="24" customWidth="1"/>
    <col min="527" max="532" width="0" style="24" hidden="1" customWidth="1"/>
    <col min="533" max="768" width="9" style="24"/>
    <col min="769" max="769" width="2.85546875" style="24" customWidth="1"/>
    <col min="770" max="770" width="8.5703125" style="24" customWidth="1"/>
    <col min="771" max="778" width="9.7109375" style="24" customWidth="1"/>
    <col min="779" max="779" width="8.5703125" style="24" customWidth="1"/>
    <col min="780" max="780" width="2.85546875" style="24" customWidth="1"/>
    <col min="781" max="781" width="6.85546875" style="24" customWidth="1"/>
    <col min="782" max="782" width="7.5703125" style="24" customWidth="1"/>
    <col min="783" max="788" width="0" style="24" hidden="1" customWidth="1"/>
    <col min="789" max="1024" width="9" style="24"/>
    <col min="1025" max="1025" width="2.85546875" style="24" customWidth="1"/>
    <col min="1026" max="1026" width="8.5703125" style="24" customWidth="1"/>
    <col min="1027" max="1034" width="9.7109375" style="24" customWidth="1"/>
    <col min="1035" max="1035" width="8.5703125" style="24" customWidth="1"/>
    <col min="1036" max="1036" width="2.85546875" style="24" customWidth="1"/>
    <col min="1037" max="1037" width="6.85546875" style="24" customWidth="1"/>
    <col min="1038" max="1038" width="7.5703125" style="24" customWidth="1"/>
    <col min="1039" max="1044" width="0" style="24" hidden="1" customWidth="1"/>
    <col min="1045" max="1280" width="9" style="24"/>
    <col min="1281" max="1281" width="2.85546875" style="24" customWidth="1"/>
    <col min="1282" max="1282" width="8.5703125" style="24" customWidth="1"/>
    <col min="1283" max="1290" width="9.7109375" style="24" customWidth="1"/>
    <col min="1291" max="1291" width="8.5703125" style="24" customWidth="1"/>
    <col min="1292" max="1292" width="2.85546875" style="24" customWidth="1"/>
    <col min="1293" max="1293" width="6.85546875" style="24" customWidth="1"/>
    <col min="1294" max="1294" width="7.5703125" style="24" customWidth="1"/>
    <col min="1295" max="1300" width="0" style="24" hidden="1" customWidth="1"/>
    <col min="1301" max="1536" width="9" style="24"/>
    <col min="1537" max="1537" width="2.85546875" style="24" customWidth="1"/>
    <col min="1538" max="1538" width="8.5703125" style="24" customWidth="1"/>
    <col min="1539" max="1546" width="9.7109375" style="24" customWidth="1"/>
    <col min="1547" max="1547" width="8.5703125" style="24" customWidth="1"/>
    <col min="1548" max="1548" width="2.85546875" style="24" customWidth="1"/>
    <col min="1549" max="1549" width="6.85546875" style="24" customWidth="1"/>
    <col min="1550" max="1550" width="7.5703125" style="24" customWidth="1"/>
    <col min="1551" max="1556" width="0" style="24" hidden="1" customWidth="1"/>
    <col min="1557" max="1792" width="9" style="24"/>
    <col min="1793" max="1793" width="2.85546875" style="24" customWidth="1"/>
    <col min="1794" max="1794" width="8.5703125" style="24" customWidth="1"/>
    <col min="1795" max="1802" width="9.7109375" style="24" customWidth="1"/>
    <col min="1803" max="1803" width="8.5703125" style="24" customWidth="1"/>
    <col min="1804" max="1804" width="2.85546875" style="24" customWidth="1"/>
    <col min="1805" max="1805" width="6.85546875" style="24" customWidth="1"/>
    <col min="1806" max="1806" width="7.5703125" style="24" customWidth="1"/>
    <col min="1807" max="1812" width="0" style="24" hidden="1" customWidth="1"/>
    <col min="1813" max="2048" width="9" style="24"/>
    <col min="2049" max="2049" width="2.85546875" style="24" customWidth="1"/>
    <col min="2050" max="2050" width="8.5703125" style="24" customWidth="1"/>
    <col min="2051" max="2058" width="9.7109375" style="24" customWidth="1"/>
    <col min="2059" max="2059" width="8.5703125" style="24" customWidth="1"/>
    <col min="2060" max="2060" width="2.85546875" style="24" customWidth="1"/>
    <col min="2061" max="2061" width="6.85546875" style="24" customWidth="1"/>
    <col min="2062" max="2062" width="7.5703125" style="24" customWidth="1"/>
    <col min="2063" max="2068" width="0" style="24" hidden="1" customWidth="1"/>
    <col min="2069" max="2304" width="9" style="24"/>
    <col min="2305" max="2305" width="2.85546875" style="24" customWidth="1"/>
    <col min="2306" max="2306" width="8.5703125" style="24" customWidth="1"/>
    <col min="2307" max="2314" width="9.7109375" style="24" customWidth="1"/>
    <col min="2315" max="2315" width="8.5703125" style="24" customWidth="1"/>
    <col min="2316" max="2316" width="2.85546875" style="24" customWidth="1"/>
    <col min="2317" max="2317" width="6.85546875" style="24" customWidth="1"/>
    <col min="2318" max="2318" width="7.5703125" style="24" customWidth="1"/>
    <col min="2319" max="2324" width="0" style="24" hidden="1" customWidth="1"/>
    <col min="2325" max="2560" width="9" style="24"/>
    <col min="2561" max="2561" width="2.85546875" style="24" customWidth="1"/>
    <col min="2562" max="2562" width="8.5703125" style="24" customWidth="1"/>
    <col min="2563" max="2570" width="9.7109375" style="24" customWidth="1"/>
    <col min="2571" max="2571" width="8.5703125" style="24" customWidth="1"/>
    <col min="2572" max="2572" width="2.85546875" style="24" customWidth="1"/>
    <col min="2573" max="2573" width="6.85546875" style="24" customWidth="1"/>
    <col min="2574" max="2574" width="7.5703125" style="24" customWidth="1"/>
    <col min="2575" max="2580" width="0" style="24" hidden="1" customWidth="1"/>
    <col min="2581" max="2816" width="9" style="24"/>
    <col min="2817" max="2817" width="2.85546875" style="24" customWidth="1"/>
    <col min="2818" max="2818" width="8.5703125" style="24" customWidth="1"/>
    <col min="2819" max="2826" width="9.7109375" style="24" customWidth="1"/>
    <col min="2827" max="2827" width="8.5703125" style="24" customWidth="1"/>
    <col min="2828" max="2828" width="2.85546875" style="24" customWidth="1"/>
    <col min="2829" max="2829" width="6.85546875" style="24" customWidth="1"/>
    <col min="2830" max="2830" width="7.5703125" style="24" customWidth="1"/>
    <col min="2831" max="2836" width="0" style="24" hidden="1" customWidth="1"/>
    <col min="2837" max="3072" width="9" style="24"/>
    <col min="3073" max="3073" width="2.85546875" style="24" customWidth="1"/>
    <col min="3074" max="3074" width="8.5703125" style="24" customWidth="1"/>
    <col min="3075" max="3082" width="9.7109375" style="24" customWidth="1"/>
    <col min="3083" max="3083" width="8.5703125" style="24" customWidth="1"/>
    <col min="3084" max="3084" width="2.85546875" style="24" customWidth="1"/>
    <col min="3085" max="3085" width="6.85546875" style="24" customWidth="1"/>
    <col min="3086" max="3086" width="7.5703125" style="24" customWidth="1"/>
    <col min="3087" max="3092" width="0" style="24" hidden="1" customWidth="1"/>
    <col min="3093" max="3328" width="9" style="24"/>
    <col min="3329" max="3329" width="2.85546875" style="24" customWidth="1"/>
    <col min="3330" max="3330" width="8.5703125" style="24" customWidth="1"/>
    <col min="3331" max="3338" width="9.7109375" style="24" customWidth="1"/>
    <col min="3339" max="3339" width="8.5703125" style="24" customWidth="1"/>
    <col min="3340" max="3340" width="2.85546875" style="24" customWidth="1"/>
    <col min="3341" max="3341" width="6.85546875" style="24" customWidth="1"/>
    <col min="3342" max="3342" width="7.5703125" style="24" customWidth="1"/>
    <col min="3343" max="3348" width="0" style="24" hidden="1" customWidth="1"/>
    <col min="3349" max="3584" width="9" style="24"/>
    <col min="3585" max="3585" width="2.85546875" style="24" customWidth="1"/>
    <col min="3586" max="3586" width="8.5703125" style="24" customWidth="1"/>
    <col min="3587" max="3594" width="9.7109375" style="24" customWidth="1"/>
    <col min="3595" max="3595" width="8.5703125" style="24" customWidth="1"/>
    <col min="3596" max="3596" width="2.85546875" style="24" customWidth="1"/>
    <col min="3597" max="3597" width="6.85546875" style="24" customWidth="1"/>
    <col min="3598" max="3598" width="7.5703125" style="24" customWidth="1"/>
    <col min="3599" max="3604" width="0" style="24" hidden="1" customWidth="1"/>
    <col min="3605" max="3840" width="9" style="24"/>
    <col min="3841" max="3841" width="2.85546875" style="24" customWidth="1"/>
    <col min="3842" max="3842" width="8.5703125" style="24" customWidth="1"/>
    <col min="3843" max="3850" width="9.7109375" style="24" customWidth="1"/>
    <col min="3851" max="3851" width="8.5703125" style="24" customWidth="1"/>
    <col min="3852" max="3852" width="2.85546875" style="24" customWidth="1"/>
    <col min="3853" max="3853" width="6.85546875" style="24" customWidth="1"/>
    <col min="3854" max="3854" width="7.5703125" style="24" customWidth="1"/>
    <col min="3855" max="3860" width="0" style="24" hidden="1" customWidth="1"/>
    <col min="3861" max="4096" width="9" style="24"/>
    <col min="4097" max="4097" width="2.85546875" style="24" customWidth="1"/>
    <col min="4098" max="4098" width="8.5703125" style="24" customWidth="1"/>
    <col min="4099" max="4106" width="9.7109375" style="24" customWidth="1"/>
    <col min="4107" max="4107" width="8.5703125" style="24" customWidth="1"/>
    <col min="4108" max="4108" width="2.85546875" style="24" customWidth="1"/>
    <col min="4109" max="4109" width="6.85546875" style="24" customWidth="1"/>
    <col min="4110" max="4110" width="7.5703125" style="24" customWidth="1"/>
    <col min="4111" max="4116" width="0" style="24" hidden="1" customWidth="1"/>
    <col min="4117" max="4352" width="9" style="24"/>
    <col min="4353" max="4353" width="2.85546875" style="24" customWidth="1"/>
    <col min="4354" max="4354" width="8.5703125" style="24" customWidth="1"/>
    <col min="4355" max="4362" width="9.7109375" style="24" customWidth="1"/>
    <col min="4363" max="4363" width="8.5703125" style="24" customWidth="1"/>
    <col min="4364" max="4364" width="2.85546875" style="24" customWidth="1"/>
    <col min="4365" max="4365" width="6.85546875" style="24" customWidth="1"/>
    <col min="4366" max="4366" width="7.5703125" style="24" customWidth="1"/>
    <col min="4367" max="4372" width="0" style="24" hidden="1" customWidth="1"/>
    <col min="4373" max="4608" width="9" style="24"/>
    <col min="4609" max="4609" width="2.85546875" style="24" customWidth="1"/>
    <col min="4610" max="4610" width="8.5703125" style="24" customWidth="1"/>
    <col min="4611" max="4618" width="9.7109375" style="24" customWidth="1"/>
    <col min="4619" max="4619" width="8.5703125" style="24" customWidth="1"/>
    <col min="4620" max="4620" width="2.85546875" style="24" customWidth="1"/>
    <col min="4621" max="4621" width="6.85546875" style="24" customWidth="1"/>
    <col min="4622" max="4622" width="7.5703125" style="24" customWidth="1"/>
    <col min="4623" max="4628" width="0" style="24" hidden="1" customWidth="1"/>
    <col min="4629" max="4864" width="9" style="24"/>
    <col min="4865" max="4865" width="2.85546875" style="24" customWidth="1"/>
    <col min="4866" max="4866" width="8.5703125" style="24" customWidth="1"/>
    <col min="4867" max="4874" width="9.7109375" style="24" customWidth="1"/>
    <col min="4875" max="4875" width="8.5703125" style="24" customWidth="1"/>
    <col min="4876" max="4876" width="2.85546875" style="24" customWidth="1"/>
    <col min="4877" max="4877" width="6.85546875" style="24" customWidth="1"/>
    <col min="4878" max="4878" width="7.5703125" style="24" customWidth="1"/>
    <col min="4879" max="4884" width="0" style="24" hidden="1" customWidth="1"/>
    <col min="4885" max="5120" width="9" style="24"/>
    <col min="5121" max="5121" width="2.85546875" style="24" customWidth="1"/>
    <col min="5122" max="5122" width="8.5703125" style="24" customWidth="1"/>
    <col min="5123" max="5130" width="9.7109375" style="24" customWidth="1"/>
    <col min="5131" max="5131" width="8.5703125" style="24" customWidth="1"/>
    <col min="5132" max="5132" width="2.85546875" style="24" customWidth="1"/>
    <col min="5133" max="5133" width="6.85546875" style="24" customWidth="1"/>
    <col min="5134" max="5134" width="7.5703125" style="24" customWidth="1"/>
    <col min="5135" max="5140" width="0" style="24" hidden="1" customWidth="1"/>
    <col min="5141" max="5376" width="9" style="24"/>
    <col min="5377" max="5377" width="2.85546875" style="24" customWidth="1"/>
    <col min="5378" max="5378" width="8.5703125" style="24" customWidth="1"/>
    <col min="5379" max="5386" width="9.7109375" style="24" customWidth="1"/>
    <col min="5387" max="5387" width="8.5703125" style="24" customWidth="1"/>
    <col min="5388" max="5388" width="2.85546875" style="24" customWidth="1"/>
    <col min="5389" max="5389" width="6.85546875" style="24" customWidth="1"/>
    <col min="5390" max="5390" width="7.5703125" style="24" customWidth="1"/>
    <col min="5391" max="5396" width="0" style="24" hidden="1" customWidth="1"/>
    <col min="5397" max="5632" width="9" style="24"/>
    <col min="5633" max="5633" width="2.85546875" style="24" customWidth="1"/>
    <col min="5634" max="5634" width="8.5703125" style="24" customWidth="1"/>
    <col min="5635" max="5642" width="9.7109375" style="24" customWidth="1"/>
    <col min="5643" max="5643" width="8.5703125" style="24" customWidth="1"/>
    <col min="5644" max="5644" width="2.85546875" style="24" customWidth="1"/>
    <col min="5645" max="5645" width="6.85546875" style="24" customWidth="1"/>
    <col min="5646" max="5646" width="7.5703125" style="24" customWidth="1"/>
    <col min="5647" max="5652" width="0" style="24" hidden="1" customWidth="1"/>
    <col min="5653" max="5888" width="9" style="24"/>
    <col min="5889" max="5889" width="2.85546875" style="24" customWidth="1"/>
    <col min="5890" max="5890" width="8.5703125" style="24" customWidth="1"/>
    <col min="5891" max="5898" width="9.7109375" style="24" customWidth="1"/>
    <col min="5899" max="5899" width="8.5703125" style="24" customWidth="1"/>
    <col min="5900" max="5900" width="2.85546875" style="24" customWidth="1"/>
    <col min="5901" max="5901" width="6.85546875" style="24" customWidth="1"/>
    <col min="5902" max="5902" width="7.5703125" style="24" customWidth="1"/>
    <col min="5903" max="5908" width="0" style="24" hidden="1" customWidth="1"/>
    <col min="5909" max="6144" width="9" style="24"/>
    <col min="6145" max="6145" width="2.85546875" style="24" customWidth="1"/>
    <col min="6146" max="6146" width="8.5703125" style="24" customWidth="1"/>
    <col min="6147" max="6154" width="9.7109375" style="24" customWidth="1"/>
    <col min="6155" max="6155" width="8.5703125" style="24" customWidth="1"/>
    <col min="6156" max="6156" width="2.85546875" style="24" customWidth="1"/>
    <col min="6157" max="6157" width="6.85546875" style="24" customWidth="1"/>
    <col min="6158" max="6158" width="7.5703125" style="24" customWidth="1"/>
    <col min="6159" max="6164" width="0" style="24" hidden="1" customWidth="1"/>
    <col min="6165" max="6400" width="9" style="24"/>
    <col min="6401" max="6401" width="2.85546875" style="24" customWidth="1"/>
    <col min="6402" max="6402" width="8.5703125" style="24" customWidth="1"/>
    <col min="6403" max="6410" width="9.7109375" style="24" customWidth="1"/>
    <col min="6411" max="6411" width="8.5703125" style="24" customWidth="1"/>
    <col min="6412" max="6412" width="2.85546875" style="24" customWidth="1"/>
    <col min="6413" max="6413" width="6.85546875" style="24" customWidth="1"/>
    <col min="6414" max="6414" width="7.5703125" style="24" customWidth="1"/>
    <col min="6415" max="6420" width="0" style="24" hidden="1" customWidth="1"/>
    <col min="6421" max="6656" width="9" style="24"/>
    <col min="6657" max="6657" width="2.85546875" style="24" customWidth="1"/>
    <col min="6658" max="6658" width="8.5703125" style="24" customWidth="1"/>
    <col min="6659" max="6666" width="9.7109375" style="24" customWidth="1"/>
    <col min="6667" max="6667" width="8.5703125" style="24" customWidth="1"/>
    <col min="6668" max="6668" width="2.85546875" style="24" customWidth="1"/>
    <col min="6669" max="6669" width="6.85546875" style="24" customWidth="1"/>
    <col min="6670" max="6670" width="7.5703125" style="24" customWidth="1"/>
    <col min="6671" max="6676" width="0" style="24" hidden="1" customWidth="1"/>
    <col min="6677" max="6912" width="9" style="24"/>
    <col min="6913" max="6913" width="2.85546875" style="24" customWidth="1"/>
    <col min="6914" max="6914" width="8.5703125" style="24" customWidth="1"/>
    <col min="6915" max="6922" width="9.7109375" style="24" customWidth="1"/>
    <col min="6923" max="6923" width="8.5703125" style="24" customWidth="1"/>
    <col min="6924" max="6924" width="2.85546875" style="24" customWidth="1"/>
    <col min="6925" max="6925" width="6.85546875" style="24" customWidth="1"/>
    <col min="6926" max="6926" width="7.5703125" style="24" customWidth="1"/>
    <col min="6927" max="6932" width="0" style="24" hidden="1" customWidth="1"/>
    <col min="6933" max="7168" width="9" style="24"/>
    <col min="7169" max="7169" width="2.85546875" style="24" customWidth="1"/>
    <col min="7170" max="7170" width="8.5703125" style="24" customWidth="1"/>
    <col min="7171" max="7178" width="9.7109375" style="24" customWidth="1"/>
    <col min="7179" max="7179" width="8.5703125" style="24" customWidth="1"/>
    <col min="7180" max="7180" width="2.85546875" style="24" customWidth="1"/>
    <col min="7181" max="7181" width="6.85546875" style="24" customWidth="1"/>
    <col min="7182" max="7182" width="7.5703125" style="24" customWidth="1"/>
    <col min="7183" max="7188" width="0" style="24" hidden="1" customWidth="1"/>
    <col min="7189" max="7424" width="9" style="24"/>
    <col min="7425" max="7425" width="2.85546875" style="24" customWidth="1"/>
    <col min="7426" max="7426" width="8.5703125" style="24" customWidth="1"/>
    <col min="7427" max="7434" width="9.7109375" style="24" customWidth="1"/>
    <col min="7435" max="7435" width="8.5703125" style="24" customWidth="1"/>
    <col min="7436" max="7436" width="2.85546875" style="24" customWidth="1"/>
    <col min="7437" max="7437" width="6.85546875" style="24" customWidth="1"/>
    <col min="7438" max="7438" width="7.5703125" style="24" customWidth="1"/>
    <col min="7439" max="7444" width="0" style="24" hidden="1" customWidth="1"/>
    <col min="7445" max="7680" width="9" style="24"/>
    <col min="7681" max="7681" width="2.85546875" style="24" customWidth="1"/>
    <col min="7682" max="7682" width="8.5703125" style="24" customWidth="1"/>
    <col min="7683" max="7690" width="9.7109375" style="24" customWidth="1"/>
    <col min="7691" max="7691" width="8.5703125" style="24" customWidth="1"/>
    <col min="7692" max="7692" width="2.85546875" style="24" customWidth="1"/>
    <col min="7693" max="7693" width="6.85546875" style="24" customWidth="1"/>
    <col min="7694" max="7694" width="7.5703125" style="24" customWidth="1"/>
    <col min="7695" max="7700" width="0" style="24" hidden="1" customWidth="1"/>
    <col min="7701" max="7936" width="9" style="24"/>
    <col min="7937" max="7937" width="2.85546875" style="24" customWidth="1"/>
    <col min="7938" max="7938" width="8.5703125" style="24" customWidth="1"/>
    <col min="7939" max="7946" width="9.7109375" style="24" customWidth="1"/>
    <col min="7947" max="7947" width="8.5703125" style="24" customWidth="1"/>
    <col min="7948" max="7948" width="2.85546875" style="24" customWidth="1"/>
    <col min="7949" max="7949" width="6.85546875" style="24" customWidth="1"/>
    <col min="7950" max="7950" width="7.5703125" style="24" customWidth="1"/>
    <col min="7951" max="7956" width="0" style="24" hidden="1" customWidth="1"/>
    <col min="7957" max="8192" width="9" style="24"/>
    <col min="8193" max="8193" width="2.85546875" style="24" customWidth="1"/>
    <col min="8194" max="8194" width="8.5703125" style="24" customWidth="1"/>
    <col min="8195" max="8202" width="9.7109375" style="24" customWidth="1"/>
    <col min="8203" max="8203" width="8.5703125" style="24" customWidth="1"/>
    <col min="8204" max="8204" width="2.85546875" style="24" customWidth="1"/>
    <col min="8205" max="8205" width="6.85546875" style="24" customWidth="1"/>
    <col min="8206" max="8206" width="7.5703125" style="24" customWidth="1"/>
    <col min="8207" max="8212" width="0" style="24" hidden="1" customWidth="1"/>
    <col min="8213" max="8448" width="9" style="24"/>
    <col min="8449" max="8449" width="2.85546875" style="24" customWidth="1"/>
    <col min="8450" max="8450" width="8.5703125" style="24" customWidth="1"/>
    <col min="8451" max="8458" width="9.7109375" style="24" customWidth="1"/>
    <col min="8459" max="8459" width="8.5703125" style="24" customWidth="1"/>
    <col min="8460" max="8460" width="2.85546875" style="24" customWidth="1"/>
    <col min="8461" max="8461" width="6.85546875" style="24" customWidth="1"/>
    <col min="8462" max="8462" width="7.5703125" style="24" customWidth="1"/>
    <col min="8463" max="8468" width="0" style="24" hidden="1" customWidth="1"/>
    <col min="8469" max="8704" width="9" style="24"/>
    <col min="8705" max="8705" width="2.85546875" style="24" customWidth="1"/>
    <col min="8706" max="8706" width="8.5703125" style="24" customWidth="1"/>
    <col min="8707" max="8714" width="9.7109375" style="24" customWidth="1"/>
    <col min="8715" max="8715" width="8.5703125" style="24" customWidth="1"/>
    <col min="8716" max="8716" width="2.85546875" style="24" customWidth="1"/>
    <col min="8717" max="8717" width="6.85546875" style="24" customWidth="1"/>
    <col min="8718" max="8718" width="7.5703125" style="24" customWidth="1"/>
    <col min="8719" max="8724" width="0" style="24" hidden="1" customWidth="1"/>
    <col min="8725" max="8960" width="9" style="24"/>
    <col min="8961" max="8961" width="2.85546875" style="24" customWidth="1"/>
    <col min="8962" max="8962" width="8.5703125" style="24" customWidth="1"/>
    <col min="8963" max="8970" width="9.7109375" style="24" customWidth="1"/>
    <col min="8971" max="8971" width="8.5703125" style="24" customWidth="1"/>
    <col min="8972" max="8972" width="2.85546875" style="24" customWidth="1"/>
    <col min="8973" max="8973" width="6.85546875" style="24" customWidth="1"/>
    <col min="8974" max="8974" width="7.5703125" style="24" customWidth="1"/>
    <col min="8975" max="8980" width="0" style="24" hidden="1" customWidth="1"/>
    <col min="8981" max="9216" width="9" style="24"/>
    <col min="9217" max="9217" width="2.85546875" style="24" customWidth="1"/>
    <col min="9218" max="9218" width="8.5703125" style="24" customWidth="1"/>
    <col min="9219" max="9226" width="9.7109375" style="24" customWidth="1"/>
    <col min="9227" max="9227" width="8.5703125" style="24" customWidth="1"/>
    <col min="9228" max="9228" width="2.85546875" style="24" customWidth="1"/>
    <col min="9229" max="9229" width="6.85546875" style="24" customWidth="1"/>
    <col min="9230" max="9230" width="7.5703125" style="24" customWidth="1"/>
    <col min="9231" max="9236" width="0" style="24" hidden="1" customWidth="1"/>
    <col min="9237" max="9472" width="9" style="24"/>
    <col min="9473" max="9473" width="2.85546875" style="24" customWidth="1"/>
    <col min="9474" max="9474" width="8.5703125" style="24" customWidth="1"/>
    <col min="9475" max="9482" width="9.7109375" style="24" customWidth="1"/>
    <col min="9483" max="9483" width="8.5703125" style="24" customWidth="1"/>
    <col min="9484" max="9484" width="2.85546875" style="24" customWidth="1"/>
    <col min="9485" max="9485" width="6.85546875" style="24" customWidth="1"/>
    <col min="9486" max="9486" width="7.5703125" style="24" customWidth="1"/>
    <col min="9487" max="9492" width="0" style="24" hidden="1" customWidth="1"/>
    <col min="9493" max="9728" width="9" style="24"/>
    <col min="9729" max="9729" width="2.85546875" style="24" customWidth="1"/>
    <col min="9730" max="9730" width="8.5703125" style="24" customWidth="1"/>
    <col min="9731" max="9738" width="9.7109375" style="24" customWidth="1"/>
    <col min="9739" max="9739" width="8.5703125" style="24" customWidth="1"/>
    <col min="9740" max="9740" width="2.85546875" style="24" customWidth="1"/>
    <col min="9741" max="9741" width="6.85546875" style="24" customWidth="1"/>
    <col min="9742" max="9742" width="7.5703125" style="24" customWidth="1"/>
    <col min="9743" max="9748" width="0" style="24" hidden="1" customWidth="1"/>
    <col min="9749" max="9984" width="9" style="24"/>
    <col min="9985" max="9985" width="2.85546875" style="24" customWidth="1"/>
    <col min="9986" max="9986" width="8.5703125" style="24" customWidth="1"/>
    <col min="9987" max="9994" width="9.7109375" style="24" customWidth="1"/>
    <col min="9995" max="9995" width="8.5703125" style="24" customWidth="1"/>
    <col min="9996" max="9996" width="2.85546875" style="24" customWidth="1"/>
    <col min="9997" max="9997" width="6.85546875" style="24" customWidth="1"/>
    <col min="9998" max="9998" width="7.5703125" style="24" customWidth="1"/>
    <col min="9999" max="10004" width="0" style="24" hidden="1" customWidth="1"/>
    <col min="10005" max="10240" width="9" style="24"/>
    <col min="10241" max="10241" width="2.85546875" style="24" customWidth="1"/>
    <col min="10242" max="10242" width="8.5703125" style="24" customWidth="1"/>
    <col min="10243" max="10250" width="9.7109375" style="24" customWidth="1"/>
    <col min="10251" max="10251" width="8.5703125" style="24" customWidth="1"/>
    <col min="10252" max="10252" width="2.85546875" style="24" customWidth="1"/>
    <col min="10253" max="10253" width="6.85546875" style="24" customWidth="1"/>
    <col min="10254" max="10254" width="7.5703125" style="24" customWidth="1"/>
    <col min="10255" max="10260" width="0" style="24" hidden="1" customWidth="1"/>
    <col min="10261" max="10496" width="9" style="24"/>
    <col min="10497" max="10497" width="2.85546875" style="24" customWidth="1"/>
    <col min="10498" max="10498" width="8.5703125" style="24" customWidth="1"/>
    <col min="10499" max="10506" width="9.7109375" style="24" customWidth="1"/>
    <col min="10507" max="10507" width="8.5703125" style="24" customWidth="1"/>
    <col min="10508" max="10508" width="2.85546875" style="24" customWidth="1"/>
    <col min="10509" max="10509" width="6.85546875" style="24" customWidth="1"/>
    <col min="10510" max="10510" width="7.5703125" style="24" customWidth="1"/>
    <col min="10511" max="10516" width="0" style="24" hidden="1" customWidth="1"/>
    <col min="10517" max="10752" width="9" style="24"/>
    <col min="10753" max="10753" width="2.85546875" style="24" customWidth="1"/>
    <col min="10754" max="10754" width="8.5703125" style="24" customWidth="1"/>
    <col min="10755" max="10762" width="9.7109375" style="24" customWidth="1"/>
    <col min="10763" max="10763" width="8.5703125" style="24" customWidth="1"/>
    <col min="10764" max="10764" width="2.85546875" style="24" customWidth="1"/>
    <col min="10765" max="10765" width="6.85546875" style="24" customWidth="1"/>
    <col min="10766" max="10766" width="7.5703125" style="24" customWidth="1"/>
    <col min="10767" max="10772" width="0" style="24" hidden="1" customWidth="1"/>
    <col min="10773" max="11008" width="9" style="24"/>
    <col min="11009" max="11009" width="2.85546875" style="24" customWidth="1"/>
    <col min="11010" max="11010" width="8.5703125" style="24" customWidth="1"/>
    <col min="11011" max="11018" width="9.7109375" style="24" customWidth="1"/>
    <col min="11019" max="11019" width="8.5703125" style="24" customWidth="1"/>
    <col min="11020" max="11020" width="2.85546875" style="24" customWidth="1"/>
    <col min="11021" max="11021" width="6.85546875" style="24" customWidth="1"/>
    <col min="11022" max="11022" width="7.5703125" style="24" customWidth="1"/>
    <col min="11023" max="11028" width="0" style="24" hidden="1" customWidth="1"/>
    <col min="11029" max="11264" width="9" style="24"/>
    <col min="11265" max="11265" width="2.85546875" style="24" customWidth="1"/>
    <col min="11266" max="11266" width="8.5703125" style="24" customWidth="1"/>
    <col min="11267" max="11274" width="9.7109375" style="24" customWidth="1"/>
    <col min="11275" max="11275" width="8.5703125" style="24" customWidth="1"/>
    <col min="11276" max="11276" width="2.85546875" style="24" customWidth="1"/>
    <col min="11277" max="11277" width="6.85546875" style="24" customWidth="1"/>
    <col min="11278" max="11278" width="7.5703125" style="24" customWidth="1"/>
    <col min="11279" max="11284" width="0" style="24" hidden="1" customWidth="1"/>
    <col min="11285" max="11520" width="9" style="24"/>
    <col min="11521" max="11521" width="2.85546875" style="24" customWidth="1"/>
    <col min="11522" max="11522" width="8.5703125" style="24" customWidth="1"/>
    <col min="11523" max="11530" width="9.7109375" style="24" customWidth="1"/>
    <col min="11531" max="11531" width="8.5703125" style="24" customWidth="1"/>
    <col min="11532" max="11532" width="2.85546875" style="24" customWidth="1"/>
    <col min="11533" max="11533" width="6.85546875" style="24" customWidth="1"/>
    <col min="11534" max="11534" width="7.5703125" style="24" customWidth="1"/>
    <col min="11535" max="11540" width="0" style="24" hidden="1" customWidth="1"/>
    <col min="11541" max="11776" width="9" style="24"/>
    <col min="11777" max="11777" width="2.85546875" style="24" customWidth="1"/>
    <col min="11778" max="11778" width="8.5703125" style="24" customWidth="1"/>
    <col min="11779" max="11786" width="9.7109375" style="24" customWidth="1"/>
    <col min="11787" max="11787" width="8.5703125" style="24" customWidth="1"/>
    <col min="11788" max="11788" width="2.85546875" style="24" customWidth="1"/>
    <col min="11789" max="11789" width="6.85546875" style="24" customWidth="1"/>
    <col min="11790" max="11790" width="7.5703125" style="24" customWidth="1"/>
    <col min="11791" max="11796" width="0" style="24" hidden="1" customWidth="1"/>
    <col min="11797" max="12032" width="9" style="24"/>
    <col min="12033" max="12033" width="2.85546875" style="24" customWidth="1"/>
    <col min="12034" max="12034" width="8.5703125" style="24" customWidth="1"/>
    <col min="12035" max="12042" width="9.7109375" style="24" customWidth="1"/>
    <col min="12043" max="12043" width="8.5703125" style="24" customWidth="1"/>
    <col min="12044" max="12044" width="2.85546875" style="24" customWidth="1"/>
    <col min="12045" max="12045" width="6.85546875" style="24" customWidth="1"/>
    <col min="12046" max="12046" width="7.5703125" style="24" customWidth="1"/>
    <col min="12047" max="12052" width="0" style="24" hidden="1" customWidth="1"/>
    <col min="12053" max="12288" width="9" style="24"/>
    <col min="12289" max="12289" width="2.85546875" style="24" customWidth="1"/>
    <col min="12290" max="12290" width="8.5703125" style="24" customWidth="1"/>
    <col min="12291" max="12298" width="9.7109375" style="24" customWidth="1"/>
    <col min="12299" max="12299" width="8.5703125" style="24" customWidth="1"/>
    <col min="12300" max="12300" width="2.85546875" style="24" customWidth="1"/>
    <col min="12301" max="12301" width="6.85546875" style="24" customWidth="1"/>
    <col min="12302" max="12302" width="7.5703125" style="24" customWidth="1"/>
    <col min="12303" max="12308" width="0" style="24" hidden="1" customWidth="1"/>
    <col min="12309" max="12544" width="9" style="24"/>
    <col min="12545" max="12545" width="2.85546875" style="24" customWidth="1"/>
    <col min="12546" max="12546" width="8.5703125" style="24" customWidth="1"/>
    <col min="12547" max="12554" width="9.7109375" style="24" customWidth="1"/>
    <col min="12555" max="12555" width="8.5703125" style="24" customWidth="1"/>
    <col min="12556" max="12556" width="2.85546875" style="24" customWidth="1"/>
    <col min="12557" max="12557" width="6.85546875" style="24" customWidth="1"/>
    <col min="12558" max="12558" width="7.5703125" style="24" customWidth="1"/>
    <col min="12559" max="12564" width="0" style="24" hidden="1" customWidth="1"/>
    <col min="12565" max="12800" width="9" style="24"/>
    <col min="12801" max="12801" width="2.85546875" style="24" customWidth="1"/>
    <col min="12802" max="12802" width="8.5703125" style="24" customWidth="1"/>
    <col min="12803" max="12810" width="9.7109375" style="24" customWidth="1"/>
    <col min="12811" max="12811" width="8.5703125" style="24" customWidth="1"/>
    <col min="12812" max="12812" width="2.85546875" style="24" customWidth="1"/>
    <col min="12813" max="12813" width="6.85546875" style="24" customWidth="1"/>
    <col min="12814" max="12814" width="7.5703125" style="24" customWidth="1"/>
    <col min="12815" max="12820" width="0" style="24" hidden="1" customWidth="1"/>
    <col min="12821" max="13056" width="9" style="24"/>
    <col min="13057" max="13057" width="2.85546875" style="24" customWidth="1"/>
    <col min="13058" max="13058" width="8.5703125" style="24" customWidth="1"/>
    <col min="13059" max="13066" width="9.7109375" style="24" customWidth="1"/>
    <col min="13067" max="13067" width="8.5703125" style="24" customWidth="1"/>
    <col min="13068" max="13068" width="2.85546875" style="24" customWidth="1"/>
    <col min="13069" max="13069" width="6.85546875" style="24" customWidth="1"/>
    <col min="13070" max="13070" width="7.5703125" style="24" customWidth="1"/>
    <col min="13071" max="13076" width="0" style="24" hidden="1" customWidth="1"/>
    <col min="13077" max="13312" width="9" style="24"/>
    <col min="13313" max="13313" width="2.85546875" style="24" customWidth="1"/>
    <col min="13314" max="13314" width="8.5703125" style="24" customWidth="1"/>
    <col min="13315" max="13322" width="9.7109375" style="24" customWidth="1"/>
    <col min="13323" max="13323" width="8.5703125" style="24" customWidth="1"/>
    <col min="13324" max="13324" width="2.85546875" style="24" customWidth="1"/>
    <col min="13325" max="13325" width="6.85546875" style="24" customWidth="1"/>
    <col min="13326" max="13326" width="7.5703125" style="24" customWidth="1"/>
    <col min="13327" max="13332" width="0" style="24" hidden="1" customWidth="1"/>
    <col min="13333" max="13568" width="9" style="24"/>
    <col min="13569" max="13569" width="2.85546875" style="24" customWidth="1"/>
    <col min="13570" max="13570" width="8.5703125" style="24" customWidth="1"/>
    <col min="13571" max="13578" width="9.7109375" style="24" customWidth="1"/>
    <col min="13579" max="13579" width="8.5703125" style="24" customWidth="1"/>
    <col min="13580" max="13580" width="2.85546875" style="24" customWidth="1"/>
    <col min="13581" max="13581" width="6.85546875" style="24" customWidth="1"/>
    <col min="13582" max="13582" width="7.5703125" style="24" customWidth="1"/>
    <col min="13583" max="13588" width="0" style="24" hidden="1" customWidth="1"/>
    <col min="13589" max="13824" width="9" style="24"/>
    <col min="13825" max="13825" width="2.85546875" style="24" customWidth="1"/>
    <col min="13826" max="13826" width="8.5703125" style="24" customWidth="1"/>
    <col min="13827" max="13834" width="9.7109375" style="24" customWidth="1"/>
    <col min="13835" max="13835" width="8.5703125" style="24" customWidth="1"/>
    <col min="13836" max="13836" width="2.85546875" style="24" customWidth="1"/>
    <col min="13837" max="13837" width="6.85546875" style="24" customWidth="1"/>
    <col min="13838" max="13838" width="7.5703125" style="24" customWidth="1"/>
    <col min="13839" max="13844" width="0" style="24" hidden="1" customWidth="1"/>
    <col min="13845" max="14080" width="9" style="24"/>
    <col min="14081" max="14081" width="2.85546875" style="24" customWidth="1"/>
    <col min="14082" max="14082" width="8.5703125" style="24" customWidth="1"/>
    <col min="14083" max="14090" width="9.7109375" style="24" customWidth="1"/>
    <col min="14091" max="14091" width="8.5703125" style="24" customWidth="1"/>
    <col min="14092" max="14092" width="2.85546875" style="24" customWidth="1"/>
    <col min="14093" max="14093" width="6.85546875" style="24" customWidth="1"/>
    <col min="14094" max="14094" width="7.5703125" style="24" customWidth="1"/>
    <col min="14095" max="14100" width="0" style="24" hidden="1" customWidth="1"/>
    <col min="14101" max="14336" width="9" style="24"/>
    <col min="14337" max="14337" width="2.85546875" style="24" customWidth="1"/>
    <col min="14338" max="14338" width="8.5703125" style="24" customWidth="1"/>
    <col min="14339" max="14346" width="9.7109375" style="24" customWidth="1"/>
    <col min="14347" max="14347" width="8.5703125" style="24" customWidth="1"/>
    <col min="14348" max="14348" width="2.85546875" style="24" customWidth="1"/>
    <col min="14349" max="14349" width="6.85546875" style="24" customWidth="1"/>
    <col min="14350" max="14350" width="7.5703125" style="24" customWidth="1"/>
    <col min="14351" max="14356" width="0" style="24" hidden="1" customWidth="1"/>
    <col min="14357" max="14592" width="9" style="24"/>
    <col min="14593" max="14593" width="2.85546875" style="24" customWidth="1"/>
    <col min="14594" max="14594" width="8.5703125" style="24" customWidth="1"/>
    <col min="14595" max="14602" width="9.7109375" style="24" customWidth="1"/>
    <col min="14603" max="14603" width="8.5703125" style="24" customWidth="1"/>
    <col min="14604" max="14604" width="2.85546875" style="24" customWidth="1"/>
    <col min="14605" max="14605" width="6.85546875" style="24" customWidth="1"/>
    <col min="14606" max="14606" width="7.5703125" style="24" customWidth="1"/>
    <col min="14607" max="14612" width="0" style="24" hidden="1" customWidth="1"/>
    <col min="14613" max="14848" width="9" style="24"/>
    <col min="14849" max="14849" width="2.85546875" style="24" customWidth="1"/>
    <col min="14850" max="14850" width="8.5703125" style="24" customWidth="1"/>
    <col min="14851" max="14858" width="9.7109375" style="24" customWidth="1"/>
    <col min="14859" max="14859" width="8.5703125" style="24" customWidth="1"/>
    <col min="14860" max="14860" width="2.85546875" style="24" customWidth="1"/>
    <col min="14861" max="14861" width="6.85546875" style="24" customWidth="1"/>
    <col min="14862" max="14862" width="7.5703125" style="24" customWidth="1"/>
    <col min="14863" max="14868" width="0" style="24" hidden="1" customWidth="1"/>
    <col min="14869" max="15104" width="9" style="24"/>
    <col min="15105" max="15105" width="2.85546875" style="24" customWidth="1"/>
    <col min="15106" max="15106" width="8.5703125" style="24" customWidth="1"/>
    <col min="15107" max="15114" width="9.7109375" style="24" customWidth="1"/>
    <col min="15115" max="15115" width="8.5703125" style="24" customWidth="1"/>
    <col min="15116" max="15116" width="2.85546875" style="24" customWidth="1"/>
    <col min="15117" max="15117" width="6.85546875" style="24" customWidth="1"/>
    <col min="15118" max="15118" width="7.5703125" style="24" customWidth="1"/>
    <col min="15119" max="15124" width="0" style="24" hidden="1" customWidth="1"/>
    <col min="15125" max="15360" width="9" style="24"/>
    <col min="15361" max="15361" width="2.85546875" style="24" customWidth="1"/>
    <col min="15362" max="15362" width="8.5703125" style="24" customWidth="1"/>
    <col min="15363" max="15370" width="9.7109375" style="24" customWidth="1"/>
    <col min="15371" max="15371" width="8.5703125" style="24" customWidth="1"/>
    <col min="15372" max="15372" width="2.85546875" style="24" customWidth="1"/>
    <col min="15373" max="15373" width="6.85546875" style="24" customWidth="1"/>
    <col min="15374" max="15374" width="7.5703125" style="24" customWidth="1"/>
    <col min="15375" max="15380" width="0" style="24" hidden="1" customWidth="1"/>
    <col min="15381" max="15616" width="9" style="24"/>
    <col min="15617" max="15617" width="2.85546875" style="24" customWidth="1"/>
    <col min="15618" max="15618" width="8.5703125" style="24" customWidth="1"/>
    <col min="15619" max="15626" width="9.7109375" style="24" customWidth="1"/>
    <col min="15627" max="15627" width="8.5703125" style="24" customWidth="1"/>
    <col min="15628" max="15628" width="2.85546875" style="24" customWidth="1"/>
    <col min="15629" max="15629" width="6.85546875" style="24" customWidth="1"/>
    <col min="15630" max="15630" width="7.5703125" style="24" customWidth="1"/>
    <col min="15631" max="15636" width="0" style="24" hidden="1" customWidth="1"/>
    <col min="15637" max="15872" width="9" style="24"/>
    <col min="15873" max="15873" width="2.85546875" style="24" customWidth="1"/>
    <col min="15874" max="15874" width="8.5703125" style="24" customWidth="1"/>
    <col min="15875" max="15882" width="9.7109375" style="24" customWidth="1"/>
    <col min="15883" max="15883" width="8.5703125" style="24" customWidth="1"/>
    <col min="15884" max="15884" width="2.85546875" style="24" customWidth="1"/>
    <col min="15885" max="15885" width="6.85546875" style="24" customWidth="1"/>
    <col min="15886" max="15886" width="7.5703125" style="24" customWidth="1"/>
    <col min="15887" max="15892" width="0" style="24" hidden="1" customWidth="1"/>
    <col min="15893" max="16128" width="9" style="24"/>
    <col min="16129" max="16129" width="2.85546875" style="24" customWidth="1"/>
    <col min="16130" max="16130" width="8.5703125" style="24" customWidth="1"/>
    <col min="16131" max="16138" width="9.7109375" style="24" customWidth="1"/>
    <col min="16139" max="16139" width="8.5703125" style="24" customWidth="1"/>
    <col min="16140" max="16140" width="2.85546875" style="24" customWidth="1"/>
    <col min="16141" max="16141" width="6.85546875" style="24" customWidth="1"/>
    <col min="16142" max="16142" width="7.5703125" style="24" customWidth="1"/>
    <col min="16143" max="16148" width="0" style="24" hidden="1" customWidth="1"/>
    <col min="16149" max="16384" width="9" style="24"/>
  </cols>
  <sheetData>
    <row r="1" spans="1:19">
      <c r="A1" s="23"/>
      <c r="B1" s="334" t="s">
        <v>87</v>
      </c>
      <c r="C1" s="334"/>
      <c r="D1" s="334"/>
      <c r="E1" s="334"/>
      <c r="F1" s="334"/>
      <c r="G1" s="335" t="s">
        <v>81</v>
      </c>
      <c r="H1" s="335"/>
      <c r="I1" s="335"/>
      <c r="J1" s="335"/>
      <c r="K1" s="335"/>
      <c r="P1" s="25"/>
      <c r="Q1" s="25"/>
      <c r="R1" s="25"/>
      <c r="S1" s="25"/>
    </row>
    <row r="2" spans="1:19" ht="12.75" customHeight="1">
      <c r="B2" s="26"/>
      <c r="C2" s="27"/>
      <c r="D2" s="27"/>
      <c r="E2" s="27"/>
      <c r="F2" s="27"/>
      <c r="G2" s="27"/>
      <c r="H2" s="27"/>
      <c r="I2" s="27"/>
      <c r="J2" s="27"/>
      <c r="K2" s="28"/>
      <c r="P2" s="25"/>
      <c r="Q2" s="25"/>
      <c r="R2" s="25"/>
      <c r="S2" s="25"/>
    </row>
    <row r="3" spans="1:19" ht="12.75" customHeight="1">
      <c r="B3" s="29"/>
      <c r="C3" s="330" t="s">
        <v>82</v>
      </c>
      <c r="D3" s="330"/>
      <c r="E3" s="330"/>
      <c r="F3" s="330"/>
      <c r="G3" s="336" t="s">
        <v>83</v>
      </c>
      <c r="H3" s="336"/>
      <c r="I3" s="336"/>
      <c r="J3" s="336"/>
      <c r="K3" s="30"/>
      <c r="P3" s="25"/>
      <c r="Q3" s="25"/>
      <c r="R3" s="25"/>
      <c r="S3" s="25"/>
    </row>
    <row r="4" spans="1:19" ht="12.75" customHeight="1">
      <c r="B4" s="29"/>
      <c r="C4" s="337" t="s">
        <v>84</v>
      </c>
      <c r="D4" s="337"/>
      <c r="E4" s="337"/>
      <c r="F4" s="337"/>
      <c r="G4" s="338" t="s">
        <v>85</v>
      </c>
      <c r="H4" s="338"/>
      <c r="I4" s="338"/>
      <c r="J4" s="338"/>
      <c r="K4" s="30"/>
      <c r="P4" s="25"/>
      <c r="Q4" s="25"/>
      <c r="R4" s="25"/>
      <c r="S4" s="25"/>
    </row>
    <row r="5" spans="1:19" ht="12.75" customHeight="1">
      <c r="B5" s="31"/>
      <c r="C5" s="32"/>
      <c r="D5" s="32"/>
      <c r="E5" s="32"/>
      <c r="F5" s="32"/>
      <c r="G5" s="32"/>
      <c r="H5" s="32"/>
      <c r="I5" s="32"/>
      <c r="J5" s="32"/>
      <c r="K5" s="33"/>
      <c r="M5" s="328"/>
      <c r="N5" s="328"/>
      <c r="P5" s="25"/>
      <c r="Q5" s="25"/>
      <c r="R5" s="25"/>
      <c r="S5" s="25"/>
    </row>
    <row r="6" spans="1:19" ht="12.75" customHeight="1"/>
    <row r="7" spans="1:19" ht="12.75" customHeight="1">
      <c r="B7" s="26"/>
      <c r="C7" s="329" t="s">
        <v>86</v>
      </c>
      <c r="D7" s="329"/>
      <c r="E7" s="329"/>
      <c r="F7" s="329"/>
      <c r="G7" s="329"/>
      <c r="H7" s="329"/>
      <c r="I7" s="329"/>
      <c r="J7" s="329"/>
      <c r="K7" s="34"/>
    </row>
    <row r="8" spans="1:19" ht="12.75" customHeight="1">
      <c r="B8" s="29"/>
      <c r="C8" s="330"/>
      <c r="D8" s="330"/>
      <c r="E8" s="330"/>
      <c r="F8" s="330"/>
      <c r="G8" s="330"/>
      <c r="H8" s="330"/>
      <c r="I8" s="330"/>
      <c r="J8" s="330"/>
      <c r="K8" s="35"/>
    </row>
    <row r="9" spans="1:19" ht="12.75" customHeight="1">
      <c r="B9" s="29"/>
      <c r="C9" s="330"/>
      <c r="D9" s="330"/>
      <c r="E9" s="330"/>
      <c r="F9" s="330"/>
      <c r="G9" s="330"/>
      <c r="H9" s="330"/>
      <c r="I9" s="330"/>
      <c r="J9" s="330"/>
      <c r="K9" s="35"/>
    </row>
    <row r="10" spans="1:19" ht="12.75" customHeight="1">
      <c r="B10" s="36"/>
      <c r="C10" s="331"/>
      <c r="D10" s="331"/>
      <c r="E10" s="331"/>
      <c r="F10" s="331"/>
      <c r="G10" s="331"/>
      <c r="H10" s="331"/>
      <c r="I10" s="331"/>
      <c r="J10" s="331"/>
      <c r="K10" s="37"/>
    </row>
    <row r="11" spans="1:19" ht="12.75" customHeight="1"/>
    <row r="12" spans="1:19" ht="17.100000000000001" customHeight="1">
      <c r="B12" s="26"/>
      <c r="C12" s="27"/>
      <c r="D12" s="27"/>
      <c r="E12" s="27"/>
      <c r="F12" s="27"/>
      <c r="G12" s="27"/>
      <c r="H12" s="27"/>
      <c r="I12" s="27"/>
      <c r="J12" s="27"/>
      <c r="K12" s="28"/>
    </row>
    <row r="13" spans="1:19" ht="17.100000000000001" customHeight="1">
      <c r="B13" s="29"/>
      <c r="C13" s="332" t="s">
        <v>88</v>
      </c>
      <c r="D13" s="330"/>
      <c r="E13" s="330"/>
      <c r="F13" s="330"/>
      <c r="G13" s="330"/>
      <c r="H13" s="330"/>
      <c r="I13" s="330"/>
      <c r="J13" s="330"/>
      <c r="K13" s="30"/>
    </row>
    <row r="14" spans="1:19" ht="17.100000000000001" customHeight="1">
      <c r="B14" s="29"/>
      <c r="C14" s="330"/>
      <c r="D14" s="330"/>
      <c r="E14" s="330"/>
      <c r="F14" s="330"/>
      <c r="G14" s="330"/>
      <c r="H14" s="330"/>
      <c r="I14" s="330"/>
      <c r="J14" s="330"/>
      <c r="K14" s="30"/>
    </row>
    <row r="15" spans="1:19" ht="17.100000000000001" customHeight="1">
      <c r="B15" s="29"/>
      <c r="C15" s="330"/>
      <c r="D15" s="330"/>
      <c r="E15" s="330"/>
      <c r="F15" s="330"/>
      <c r="G15" s="330"/>
      <c r="H15" s="330"/>
      <c r="I15" s="330"/>
      <c r="J15" s="330"/>
      <c r="K15" s="30"/>
    </row>
    <row r="16" spans="1:19" ht="15" customHeight="1">
      <c r="B16" s="29"/>
      <c r="C16" s="330"/>
      <c r="D16" s="330"/>
      <c r="E16" s="330"/>
      <c r="F16" s="330"/>
      <c r="G16" s="330"/>
      <c r="H16" s="330"/>
      <c r="I16" s="330"/>
      <c r="J16" s="330"/>
      <c r="K16" s="30"/>
    </row>
    <row r="17" spans="2:11" ht="15" customHeight="1">
      <c r="B17" s="29"/>
      <c r="C17" s="330"/>
      <c r="D17" s="330"/>
      <c r="E17" s="330"/>
      <c r="F17" s="330"/>
      <c r="G17" s="330"/>
      <c r="H17" s="330"/>
      <c r="I17" s="330"/>
      <c r="J17" s="330"/>
      <c r="K17" s="30"/>
    </row>
    <row r="18" spans="2:11" ht="15" customHeight="1">
      <c r="B18" s="29"/>
      <c r="C18" s="330"/>
      <c r="D18" s="330"/>
      <c r="E18" s="330"/>
      <c r="F18" s="330"/>
      <c r="G18" s="330"/>
      <c r="H18" s="330"/>
      <c r="I18" s="330"/>
      <c r="J18" s="330"/>
      <c r="K18" s="30"/>
    </row>
    <row r="19" spans="2:11" ht="15" customHeight="1">
      <c r="B19" s="29"/>
      <c r="C19" s="330"/>
      <c r="D19" s="330"/>
      <c r="E19" s="330"/>
      <c r="F19" s="330"/>
      <c r="G19" s="330"/>
      <c r="H19" s="330"/>
      <c r="I19" s="330"/>
      <c r="J19" s="330"/>
      <c r="K19" s="30"/>
    </row>
    <row r="20" spans="2:11" ht="15" customHeight="1">
      <c r="B20" s="29"/>
      <c r="C20" s="330"/>
      <c r="D20" s="330"/>
      <c r="E20" s="330"/>
      <c r="F20" s="330"/>
      <c r="G20" s="330"/>
      <c r="H20" s="330"/>
      <c r="I20" s="330"/>
      <c r="J20" s="330"/>
      <c r="K20" s="30"/>
    </row>
    <row r="21" spans="2:11" ht="15" customHeight="1">
      <c r="B21" s="29"/>
      <c r="C21" s="330"/>
      <c r="D21" s="330"/>
      <c r="E21" s="330"/>
      <c r="F21" s="330"/>
      <c r="G21" s="330"/>
      <c r="H21" s="330"/>
      <c r="I21" s="330"/>
      <c r="J21" s="330"/>
      <c r="K21" s="30"/>
    </row>
    <row r="22" spans="2:11" ht="15" customHeight="1">
      <c r="B22" s="29"/>
      <c r="C22" s="330"/>
      <c r="D22" s="330"/>
      <c r="E22" s="330"/>
      <c r="F22" s="330"/>
      <c r="G22" s="330"/>
      <c r="H22" s="330"/>
      <c r="I22" s="330"/>
      <c r="J22" s="330"/>
      <c r="K22" s="30"/>
    </row>
    <row r="23" spans="2:11" ht="15" customHeight="1">
      <c r="B23" s="29"/>
      <c r="C23" s="330"/>
      <c r="D23" s="330"/>
      <c r="E23" s="330"/>
      <c r="F23" s="330"/>
      <c r="G23" s="330"/>
      <c r="H23" s="330"/>
      <c r="I23" s="330"/>
      <c r="J23" s="330"/>
      <c r="K23" s="30"/>
    </row>
    <row r="24" spans="2:11" ht="15" customHeight="1">
      <c r="B24" s="29"/>
      <c r="C24" s="330"/>
      <c r="D24" s="330"/>
      <c r="E24" s="330"/>
      <c r="F24" s="330"/>
      <c r="G24" s="330"/>
      <c r="H24" s="330"/>
      <c r="I24" s="330"/>
      <c r="J24" s="330"/>
      <c r="K24" s="30"/>
    </row>
    <row r="25" spans="2:11" ht="15" customHeight="1">
      <c r="B25" s="29"/>
      <c r="C25" s="330"/>
      <c r="D25" s="330"/>
      <c r="E25" s="330"/>
      <c r="F25" s="330"/>
      <c r="G25" s="330"/>
      <c r="H25" s="330"/>
      <c r="I25" s="330"/>
      <c r="J25" s="330"/>
      <c r="K25" s="30"/>
    </row>
    <row r="26" spans="2:11" ht="17.100000000000001" customHeight="1">
      <c r="B26" s="29"/>
      <c r="C26" s="330"/>
      <c r="D26" s="330"/>
      <c r="E26" s="330"/>
      <c r="F26" s="330"/>
      <c r="G26" s="330"/>
      <c r="H26" s="330"/>
      <c r="I26" s="330"/>
      <c r="J26" s="330"/>
      <c r="K26" s="30"/>
    </row>
    <row r="27" spans="2:11" ht="17.100000000000001" customHeight="1">
      <c r="B27" s="29"/>
      <c r="C27" s="330"/>
      <c r="D27" s="330"/>
      <c r="E27" s="330"/>
      <c r="F27" s="330"/>
      <c r="G27" s="330"/>
      <c r="H27" s="330"/>
      <c r="I27" s="330"/>
      <c r="J27" s="330"/>
      <c r="K27" s="30"/>
    </row>
    <row r="28" spans="2:11" ht="17.100000000000001" customHeight="1">
      <c r="B28" s="29"/>
      <c r="C28" s="330"/>
      <c r="D28" s="330"/>
      <c r="E28" s="330"/>
      <c r="F28" s="330"/>
      <c r="G28" s="330"/>
      <c r="H28" s="330"/>
      <c r="I28" s="330"/>
      <c r="J28" s="330"/>
      <c r="K28" s="30"/>
    </row>
    <row r="29" spans="2:11" ht="17.100000000000001" customHeight="1">
      <c r="B29" s="29"/>
      <c r="C29" s="330"/>
      <c r="D29" s="330"/>
      <c r="E29" s="330"/>
      <c r="F29" s="330"/>
      <c r="G29" s="330"/>
      <c r="H29" s="330"/>
      <c r="I29" s="330"/>
      <c r="J29" s="330"/>
      <c r="K29" s="30"/>
    </row>
    <row r="30" spans="2:11" ht="17.100000000000001" customHeight="1">
      <c r="B30" s="29"/>
      <c r="C30" s="330"/>
      <c r="D30" s="330"/>
      <c r="E30" s="330"/>
      <c r="F30" s="330"/>
      <c r="G30" s="330"/>
      <c r="H30" s="330"/>
      <c r="I30" s="330"/>
      <c r="J30" s="330"/>
      <c r="K30" s="30"/>
    </row>
    <row r="31" spans="2:11" ht="17.100000000000001" customHeight="1">
      <c r="B31" s="31"/>
      <c r="C31" s="32"/>
      <c r="D31" s="32"/>
      <c r="E31" s="32"/>
      <c r="F31" s="32"/>
      <c r="G31" s="32"/>
      <c r="H31" s="32"/>
      <c r="I31" s="32"/>
      <c r="J31" s="32"/>
      <c r="K31" s="33"/>
    </row>
    <row r="32" spans="2:11" ht="17.100000000000001" customHeight="1"/>
    <row r="33" spans="2:11" ht="12.75" customHeight="1">
      <c r="B33" s="26"/>
      <c r="C33" s="27"/>
      <c r="D33" s="27"/>
      <c r="E33" s="27"/>
      <c r="F33" s="27"/>
      <c r="G33" s="27"/>
      <c r="H33" s="27"/>
      <c r="I33" s="27"/>
      <c r="J33" s="27"/>
      <c r="K33" s="28"/>
    </row>
    <row r="34" spans="2:11" ht="12.75" customHeight="1">
      <c r="B34" s="29"/>
      <c r="C34" s="333" t="s">
        <v>89</v>
      </c>
      <c r="D34" s="333"/>
      <c r="E34" s="333"/>
      <c r="F34" s="333"/>
      <c r="G34" s="333"/>
      <c r="H34" s="333"/>
      <c r="I34" s="333"/>
      <c r="J34" s="333"/>
      <c r="K34" s="30"/>
    </row>
    <row r="35" spans="2:11" ht="26.25" customHeight="1">
      <c r="B35" s="29"/>
      <c r="C35" s="333"/>
      <c r="D35" s="333"/>
      <c r="E35" s="333"/>
      <c r="F35" s="333"/>
      <c r="G35" s="333"/>
      <c r="H35" s="333"/>
      <c r="I35" s="333"/>
      <c r="J35" s="333"/>
      <c r="K35" s="30"/>
    </row>
    <row r="36" spans="2:11">
      <c r="B36" s="29"/>
      <c r="C36" s="333"/>
      <c r="D36" s="333"/>
      <c r="E36" s="333"/>
      <c r="F36" s="333"/>
      <c r="G36" s="333"/>
      <c r="H36" s="333"/>
      <c r="I36" s="333"/>
      <c r="J36" s="333"/>
      <c r="K36" s="30"/>
    </row>
    <row r="37" spans="2:11">
      <c r="B37" s="29"/>
      <c r="C37" s="333"/>
      <c r="D37" s="333"/>
      <c r="E37" s="333"/>
      <c r="F37" s="333"/>
      <c r="G37" s="333"/>
      <c r="H37" s="333"/>
      <c r="I37" s="333"/>
      <c r="J37" s="333"/>
      <c r="K37" s="30"/>
    </row>
    <row r="38" spans="2:11">
      <c r="B38" s="31"/>
      <c r="C38" s="32"/>
      <c r="D38" s="32"/>
      <c r="E38" s="32"/>
      <c r="F38" s="32"/>
      <c r="G38" s="32"/>
      <c r="H38" s="32"/>
      <c r="I38" s="32"/>
      <c r="J38" s="32"/>
      <c r="K38" s="33"/>
    </row>
    <row r="40" spans="2:11">
      <c r="B40" s="26"/>
      <c r="C40" s="27"/>
      <c r="D40" s="27"/>
      <c r="E40" s="27"/>
      <c r="F40" s="27"/>
      <c r="G40" s="27"/>
      <c r="H40" s="27"/>
      <c r="I40" s="27"/>
      <c r="J40" s="27"/>
      <c r="K40" s="28"/>
    </row>
    <row r="41" spans="2:11" ht="16.5" customHeight="1">
      <c r="B41" s="29"/>
      <c r="C41" s="330" t="s">
        <v>182</v>
      </c>
      <c r="D41" s="330"/>
      <c r="E41" s="330"/>
      <c r="F41" s="330"/>
      <c r="G41" s="330"/>
      <c r="H41" s="330"/>
      <c r="I41" s="330"/>
      <c r="J41" s="330"/>
      <c r="K41" s="30"/>
    </row>
    <row r="42" spans="2:11" ht="18" customHeight="1">
      <c r="B42" s="29"/>
      <c r="C42" s="330"/>
      <c r="D42" s="330"/>
      <c r="E42" s="330"/>
      <c r="F42" s="330"/>
      <c r="G42" s="330"/>
      <c r="H42" s="330"/>
      <c r="I42" s="330"/>
      <c r="J42" s="330"/>
      <c r="K42" s="30"/>
    </row>
    <row r="43" spans="2:11" ht="18" customHeight="1">
      <c r="B43" s="29"/>
      <c r="C43" s="330"/>
      <c r="D43" s="330"/>
      <c r="E43" s="330"/>
      <c r="F43" s="330"/>
      <c r="G43" s="330"/>
      <c r="H43" s="330"/>
      <c r="I43" s="330"/>
      <c r="J43" s="330"/>
      <c r="K43" s="30"/>
    </row>
    <row r="44" spans="2:11" ht="19.5" customHeight="1">
      <c r="B44" s="29"/>
      <c r="C44" s="330"/>
      <c r="D44" s="330"/>
      <c r="E44" s="330"/>
      <c r="F44" s="330"/>
      <c r="G44" s="330"/>
      <c r="H44" s="330"/>
      <c r="I44" s="330"/>
      <c r="J44" s="330"/>
      <c r="K44" s="30"/>
    </row>
    <row r="45" spans="2:11">
      <c r="B45" s="31"/>
      <c r="C45" s="32"/>
      <c r="D45" s="32"/>
      <c r="E45" s="32"/>
      <c r="F45" s="32"/>
      <c r="G45" s="32"/>
      <c r="H45" s="32"/>
      <c r="I45" s="32"/>
      <c r="J45" s="32"/>
      <c r="K45" s="33"/>
    </row>
    <row r="50" spans="4:4">
      <c r="D50" s="38"/>
    </row>
  </sheetData>
  <sheetProtection password="CD8C" sheet="1" objects="1" scenarios="1" selectLockedCells="1"/>
  <mergeCells count="11">
    <mergeCell ref="B1:F1"/>
    <mergeCell ref="G1:K1"/>
    <mergeCell ref="C3:F3"/>
    <mergeCell ref="G3:J3"/>
    <mergeCell ref="C4:F4"/>
    <mergeCell ref="G4:J4"/>
    <mergeCell ref="M5:N5"/>
    <mergeCell ref="C7:J10"/>
    <mergeCell ref="C13:J30"/>
    <mergeCell ref="C34:J37"/>
    <mergeCell ref="C41:J44"/>
  </mergeCells>
  <hyperlinks>
    <hyperlink ref="C4" r:id="rId1" xr:uid="{00000000-0004-0000-0200-000000000000}"/>
    <hyperlink ref="G4" r:id="rId2" xr:uid="{00000000-0004-0000-0200-000001000000}"/>
  </hyperlinks>
  <pageMargins left="0.75" right="0.75" top="1" bottom="1" header="0.5" footer="0.5"/>
  <pageSetup paperSize="9" scale="91"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masonry bearing</vt:lpstr>
      <vt:lpstr>from author</vt:lpstr>
      <vt:lpstr>myrange</vt:lpstr>
      <vt:lpstr>'masonry bearing'!Print_Area</vt:lpstr>
    </vt:vector>
  </TitlesOfParts>
  <Company>Jenkins &amp; Potter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d.janicki</dc:creator>
  <cp:lastModifiedBy>ziom</cp:lastModifiedBy>
  <cp:lastPrinted>2016-09-18T15:17:33Z</cp:lastPrinted>
  <dcterms:created xsi:type="dcterms:W3CDTF">2014-07-08T16:35:12Z</dcterms:created>
  <dcterms:modified xsi:type="dcterms:W3CDTF">2018-06-20T20:38:02Z</dcterms:modified>
</cp:coreProperties>
</file>